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pivotCacheDefinition+xml" PartName="/xl/pivotCache/pivotCacheDefinition1.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19.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binary" PartName="/xl/metadata"/>
  <Override ContentType="application/vnd.openxmlformats-officedocument.spreadsheetml.pivotTable+xml" PartName="/xl/pivotTables/pivotTable1.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package.core-properties+xml" PartName="/docProps/core.xml"/>
  <Override ContentType="application/vnd.openxmlformats-officedocument.spreadsheetml.styles+xml" PartName="/xl/styles.xml"/>
  <Override ContentType="application/vnd.openxmlformats-officedocument.drawingml.chart+xml" PartName="/xl/charts/chart1.xml"/>
  <Override ContentType="application/vnd.openxmlformats-officedocument.drawingml.chart+xml" PartName="/xl/charts/chart4.xml"/>
  <Override ContentType="application/vnd.openxmlformats-officedocument.drawingml.chart+xml" PartName="/xl/charts/chart3.xml"/>
  <Override ContentType="application/vnd.openxmlformats-officedocument.drawingml.chart+xml" PartName="/xl/charts/chart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31-03" sheetId="1" r:id="rId4"/>
    <sheet state="visible" name="4-04" sheetId="2" r:id="rId5"/>
    <sheet state="visible" name="7-04" sheetId="3" r:id="rId6"/>
    <sheet state="visible" name="21-04" sheetId="4" r:id="rId7"/>
    <sheet state="visible" name="09-05" sheetId="5" r:id="rId8"/>
    <sheet state="visible" name="12-05" sheetId="6" r:id="rId9"/>
    <sheet state="visible" name="17-05" sheetId="7" r:id="rId10"/>
    <sheet state="visible" name="23-5" sheetId="8" r:id="rId11"/>
    <sheet state="visible" name="30-5" sheetId="9" r:id="rId12"/>
    <sheet state="visible" name="06-06" sheetId="10" r:id="rId13"/>
    <sheet state="visible" name="hist" sheetId="11" r:id="rId14"/>
    <sheet state="visible" name="09-06" sheetId="12" r:id="rId15"/>
    <sheet state="visible" name="16-06" sheetId="13" r:id="rId16"/>
    <sheet state="visible" name="20-06" sheetId="14" r:id="rId17"/>
    <sheet state="visible" name="23-06" sheetId="15" r:id="rId18"/>
    <sheet state="visible" name="Hoja3" sheetId="16" r:id="rId19"/>
    <sheet state="visible" name="04-07" sheetId="17" r:id="rId20"/>
    <sheet state="visible" name="11-07" sheetId="18" r:id="rId21"/>
    <sheet state="visible" name="Hoja1" sheetId="19" r:id="rId22"/>
  </sheets>
  <definedNames/>
  <calcPr/>
  <pivotCaches>
    <pivotCache cacheId="0" r:id="rId23"/>
  </pivotCaches>
  <extLst>
    <ext uri="GoogleSheetsCustomDataVersion1">
      <go:sheetsCustomData xmlns:go="http://customooxmlschemas.google.com/" r:id="rId24" roundtripDataSignature="AMtx7mh4eGMGhEurHCEt33lwOYl2Px2bEg=="/>
    </ext>
  </extLst>
</workbook>
</file>

<file path=xl/sharedStrings.xml><?xml version="1.0" encoding="utf-8"?>
<sst xmlns="http://schemas.openxmlformats.org/spreadsheetml/2006/main" count="1052" uniqueCount="671">
  <si>
    <t>se tomó  una muestra al azar de 241 segmentos de calles de 1km. Se contó cuantos huecos tenia cada segmento de calle</t>
  </si>
  <si>
    <t>analice si la variable numero de huecos se distribuye poisson, con Mu=2, con alfa de 0,05</t>
  </si>
  <si>
    <t>H0: numero de huecos proviene de una poblacion con distribución poisson con mu=2</t>
  </si>
  <si>
    <t xml:space="preserve">cualquier tipo de variable, cualquier tipo de distribución </t>
  </si>
  <si>
    <t>H1: numero de huecos NO proviene de una población con distribución piosson con mu=2</t>
  </si>
  <si>
    <t>muestra de 241 segmentos de calle: numero de huecos encontrados</t>
  </si>
  <si>
    <t>huecos en las calles</t>
  </si>
  <si>
    <t>fi</t>
  </si>
  <si>
    <t>P(X&lt;=x)</t>
  </si>
  <si>
    <t>p(X=x)</t>
  </si>
  <si>
    <t>Fi=n*P(X=x)</t>
  </si>
  <si>
    <r>
      <rPr>
        <rFont val="Calibri"/>
        <color theme="1"/>
        <sz val="11.0"/>
      </rPr>
      <t>X</t>
    </r>
    <r>
      <rPr>
        <rFont val="Calibri"/>
        <color theme="1"/>
        <sz val="11.0"/>
        <vertAlign val="superscript"/>
      </rPr>
      <t>2</t>
    </r>
  </si>
  <si>
    <r>
      <rPr>
        <rFont val="Calibri"/>
        <color theme="1"/>
        <sz val="11.0"/>
      </rPr>
      <t>G</t>
    </r>
    <r>
      <rPr>
        <rFont val="Calibri"/>
        <color theme="1"/>
        <sz val="11.0"/>
        <vertAlign val="superscript"/>
      </rPr>
      <t>2</t>
    </r>
  </si>
  <si>
    <t>TOTAL</t>
  </si>
  <si>
    <t>k-p-1=8-1-1+6gl</t>
  </si>
  <si>
    <t>*siempre en la ultima clase hay qye poner la probabilidad de 1</t>
  </si>
  <si>
    <t>chi-cuad(6gl, 1-alfa)=</t>
  </si>
  <si>
    <t>hay suficiente evidencia estadistica para rechacar la H0 de que el numero de huecos provienen de una población con distribución poisson con mu=2, con un alfa= 0,05</t>
  </si>
  <si>
    <t>con un p value menor a alfa rechazo la hipotesis nula</t>
  </si>
  <si>
    <t>metodo del p-value:</t>
  </si>
  <si>
    <t>p value x2=</t>
  </si>
  <si>
    <t>p value g2=</t>
  </si>
  <si>
    <t>TAMBIEN SE PUDE DECIR PROBABILIDAD ASOCIADA AL P-VALUE</t>
  </si>
  <si>
    <t>SHAPIRO</t>
  </si>
  <si>
    <t>H0: gastos semanales provienen de una población con distribución normal</t>
  </si>
  <si>
    <t>solo para la normal</t>
  </si>
  <si>
    <t>H1: gastos semanales no provienen de una población con distribución normal</t>
  </si>
  <si>
    <t>alfa= 0,05</t>
  </si>
  <si>
    <t xml:space="preserve">estos datos son del ejemplo 3 sobre gastos semanales </t>
  </si>
  <si>
    <t>ejemplo de la prueba de shapiro</t>
  </si>
  <si>
    <t>numerador</t>
  </si>
  <si>
    <t>denomindor</t>
  </si>
  <si>
    <t>y</t>
  </si>
  <si>
    <t>(yn-i+1)-yi</t>
  </si>
  <si>
    <t>an</t>
  </si>
  <si>
    <t>an*[(yn-i+1)-yi]</t>
  </si>
  <si>
    <t>(yi-ybarra)</t>
  </si>
  <si>
    <t>(yi-ybarra)^2</t>
  </si>
  <si>
    <t>suma</t>
  </si>
  <si>
    <t>prom</t>
  </si>
  <si>
    <t>desv est</t>
  </si>
  <si>
    <t>var</t>
  </si>
  <si>
    <t>wc=</t>
  </si>
  <si>
    <t>b**2</t>
  </si>
  <si>
    <t xml:space="preserve">  =</t>
  </si>
  <si>
    <t>Scy</t>
  </si>
  <si>
    <t>var(y)*(n-1)</t>
  </si>
  <si>
    <t>b</t>
  </si>
  <si>
    <t>(23,1339)^2</t>
  </si>
  <si>
    <t>74,11*(9-1)</t>
  </si>
  <si>
    <t>w</t>
  </si>
  <si>
    <t>w tabular</t>
  </si>
  <si>
    <t>alfa=0,05</t>
  </si>
  <si>
    <t xml:space="preserve">no hay suficiente evidencia estadistica para rechazar la hipotesis nula de que el gasto semanal proviene de una poblacion con distribuci[on normal con una significancia del 5% </t>
  </si>
  <si>
    <t>kolmogrov- smirnov</t>
  </si>
  <si>
    <t>solo para distribuciones continuas</t>
  </si>
  <si>
    <t>H0: gastos semanales provienen de una población con distribución normal con media=59 y desv est de 9</t>
  </si>
  <si>
    <t>H1: gastos semanales no provienen de una población con distribución normal con media=59 y desv est 9</t>
  </si>
  <si>
    <t>(49-59)/9=-1.11</t>
  </si>
  <si>
    <t>el 9 es de la desv est</t>
  </si>
  <si>
    <t>media</t>
  </si>
  <si>
    <t>se basa en la h0</t>
  </si>
  <si>
    <t>orden</t>
  </si>
  <si>
    <t>Fo</t>
  </si>
  <si>
    <t>z</t>
  </si>
  <si>
    <t>Fh</t>
  </si>
  <si>
    <t>Delta</t>
  </si>
  <si>
    <t>Omega</t>
  </si>
  <si>
    <t>siempre hay que colocar 1 en la ultima clase</t>
  </si>
  <si>
    <t>d</t>
  </si>
  <si>
    <t>dmax</t>
  </si>
  <si>
    <t>dt=d[0,05,9]=</t>
  </si>
  <si>
    <t>tabular</t>
  </si>
  <si>
    <t>no hay suficiente evidencia estadistica para rechazar la hipotesis nula de que el gasto semanal proviene de una poblacion con dis normal con media=59 y desv estandar=9 con alfa de 0,05</t>
  </si>
  <si>
    <t>exponencial</t>
  </si>
  <si>
    <t>H0: gastos semanales provienen de una distribución exponencial con media=59</t>
  </si>
  <si>
    <t>H1: gastos semanales no provienen de una distribución exponencial con media=59</t>
  </si>
  <si>
    <t>se basa en la ho</t>
  </si>
  <si>
    <t>dmax=</t>
  </si>
  <si>
    <t>dt=[0,05,9]=</t>
  </si>
  <si>
    <t>hay suficiente evidencia estadistuca para rechazar la hipotesis nula de que los gastos semanales provienen de una poblacion con distribicion exponencial con media=59</t>
  </si>
  <si>
    <t>z tabular estandariza los limites superiores</t>
  </si>
  <si>
    <r>
      <rPr>
        <rFont val="Times New Roman"/>
        <color theme="1"/>
        <sz val="11.0"/>
      </rPr>
      <t xml:space="preserve">1. En una población específica de hombres, se ha determinado que el peso promedio del adulto de 18 años ó más ha sido históricamente de 60 kilogramos, con una desviación estándar de 20 kilogramos.  Sin embargo, un cambio en la dieta en la que los chicharrones de cerdo han sustituido a los picadillos de vegetales, hace pensar que el peso promedio se ha incrementado.  Se desea probar que el peso promedio aumentó, con un nivel de significancia </t>
    </r>
    <r>
      <rPr>
        <rFont val="Symbol"/>
        <color theme="1"/>
        <sz val="11.0"/>
      </rPr>
      <t>a</t>
    </r>
    <r>
      <rPr>
        <rFont val="Times New Roman"/>
        <color theme="1"/>
        <sz val="11.0"/>
      </rPr>
      <t xml:space="preserve">=0.05.  Se toma una muestra de 2000 personas y se les pesa con una báscula estandarizada.  En esta muestra se obtuvo que el peso promedio de los hombres es de 63 kilogramos.  Prueba la hipótesis de que el peso promedio de los hombres ha aumentado, con un </t>
    </r>
    <r>
      <rPr>
        <rFont val="Symbol"/>
        <color theme="1"/>
        <sz val="11.0"/>
      </rPr>
      <t>a</t>
    </r>
    <r>
      <rPr>
        <rFont val="Times New Roman"/>
        <color theme="1"/>
        <sz val="11.0"/>
      </rPr>
      <t>=0.05.</t>
    </r>
  </si>
  <si>
    <t>Primer caso: A prueba de hipotesis para una media suponiendo que se conoce la varianza poblacional</t>
  </si>
  <si>
    <t>primer paso</t>
  </si>
  <si>
    <t>planteamiento de la hipotesis, y extracción de información</t>
  </si>
  <si>
    <t>prueva Z con var conocida</t>
  </si>
  <si>
    <t>H0:MU =</t>
  </si>
  <si>
    <t>60 KG</t>
  </si>
  <si>
    <t>metodos de los cuantilos</t>
  </si>
  <si>
    <t>H1: MU&gt;</t>
  </si>
  <si>
    <t>n=</t>
  </si>
  <si>
    <t>alfa=</t>
  </si>
  <si>
    <t>x barra=</t>
  </si>
  <si>
    <t>ds pob</t>
  </si>
  <si>
    <t>sigma=</t>
  </si>
  <si>
    <t>2. se calcula el z tabular</t>
  </si>
  <si>
    <t>z-tabular=</t>
  </si>
  <si>
    <t xml:space="preserve"> +</t>
  </si>
  <si>
    <t>z[1-alfa]</t>
  </si>
  <si>
    <t>z[1-0,05]</t>
  </si>
  <si>
    <t>3 se estandariza el promedio muestral (x barra), o sea, se calcula el z calculado</t>
  </si>
  <si>
    <t>63-60</t>
  </si>
  <si>
    <t>=</t>
  </si>
  <si>
    <t>raiz(2000)</t>
  </si>
  <si>
    <t>4. se analiza si el z calculado cae en la zona de rechazo o no rechazo</t>
  </si>
  <si>
    <t>como la h1 es mayor a 60 la zona de rechazo esta a la derecha</t>
  </si>
  <si>
    <t>como el z calculado es igual a 6,71, cae en la zona de rechazo</t>
  </si>
  <si>
    <t>5. conclusion</t>
  </si>
  <si>
    <t>hay suficiente evidencia estadistica para rechazar la hipotesis nula que la media del peso en esta comunidad es igual a 60 kg con un alfa de 0,05</t>
  </si>
  <si>
    <t>2. calcular el x barra tabular</t>
  </si>
  <si>
    <t>como esta es una prueba de una sola cola y la h1 plantea que mu&gt; 60</t>
  </si>
  <si>
    <t>metodo con las unidades de medicion</t>
  </si>
  <si>
    <t>x tabular=</t>
  </si>
  <si>
    <t>nuevamente, se observa que el x barra calculado que es 63 cae evidentemente en la zona de rechazo</t>
  </si>
  <si>
    <t>4 conclusion</t>
  </si>
  <si>
    <t>metodo de p value</t>
  </si>
  <si>
    <t xml:space="preserve">el p values es la probavilidad de observar el valor de la muestra o 1+ extremo dada la h0 </t>
  </si>
  <si>
    <t>como se dijo, se utiliza la informacion del metodo de los cuantilos</t>
  </si>
  <si>
    <t>como la h1 plantea que mu&gt; 60</t>
  </si>
  <si>
    <t>p value =</t>
  </si>
  <si>
    <t>P(x barra&gt;=63 dado mu=60</t>
  </si>
  <si>
    <t>prueva z con var desconocida</t>
  </si>
  <si>
    <r>
      <rPr>
        <rFont val="Times New Roman"/>
        <color theme="1"/>
        <sz val="11.0"/>
      </rPr>
      <t xml:space="preserve">1. Un producto a granel se empaca en estañones que deberían tener en promedio 70 lbs, con una máquina empacadora.  Se saca una muestra de 250 estañones para verificar si la máquina está llenando los estañones correctamente.  La muestra tiene una media de 69 lbs con una desviación estándar de 3 lbs. Pruebe la hipótesis de que la máquina está llenando correcta o incorrectamente los estañones, con un </t>
    </r>
    <r>
      <rPr>
        <rFont val="Symbol"/>
        <color theme="1"/>
        <sz val="11.0"/>
      </rPr>
      <t>a</t>
    </r>
    <r>
      <rPr>
        <rFont val="Times New Roman"/>
        <color theme="1"/>
        <sz val="11.0"/>
      </rPr>
      <t>=0.01.</t>
    </r>
  </si>
  <si>
    <t>primer paso panteamiento de la hipotesis y extraccion de los datos</t>
  </si>
  <si>
    <t>H0: mu=</t>
  </si>
  <si>
    <t>h1: mu &lt;</t>
  </si>
  <si>
    <t>como afecta al consumidor</t>
  </si>
  <si>
    <t>metodo de los cuantilos</t>
  </si>
  <si>
    <t>ds muestral=</t>
  </si>
  <si>
    <t>s=</t>
  </si>
  <si>
    <t xml:space="preserve">2. se calcula el z tabular </t>
  </si>
  <si>
    <t>z- tabular=</t>
  </si>
  <si>
    <t xml:space="preserve"> -</t>
  </si>
  <si>
    <t>z[1-0,01]</t>
  </si>
  <si>
    <t>3. se estandariza el promedio muestral (x barra) o sea, se calcula z calculado:</t>
  </si>
  <si>
    <t>69-70</t>
  </si>
  <si>
    <t>raiz(250)</t>
  </si>
  <si>
    <t>4. se analiza si el z calculado cae en la zona de rechazo o de no rechazo</t>
  </si>
  <si>
    <t>como el z calculaod es igual a -5,26, cae en la zona de rechazo</t>
  </si>
  <si>
    <t>hay suficiente evidencia estadistica para rechazar la hipotesis nula de que la media del peso de los pesos de los esta;ones es de 70 lbs, con un alfa de 0,01</t>
  </si>
  <si>
    <t>calculado</t>
  </si>
  <si>
    <t>el x barra es el que denominaremos x barra calculado</t>
  </si>
  <si>
    <t>por ser de cola izq es que esta negativo</t>
  </si>
  <si>
    <t>ademas por los calculos anteriones sabemos qie z[0,01]=</t>
  </si>
  <si>
    <t>nuevamente se observa que el x barra calculado, que es 69, es evidentemente en la zona de rechazo</t>
  </si>
  <si>
    <t>metodo del p value</t>
  </si>
  <si>
    <t xml:space="preserve">como se dijo </t>
  </si>
  <si>
    <t>p value</t>
  </si>
  <si>
    <t>p(x barra&lt;69 dado mu=70</t>
  </si>
  <si>
    <t>P(z&lt;zc)</t>
  </si>
  <si>
    <t>P(z&lt;-5,26)</t>
  </si>
  <si>
    <t>casi cero</t>
  </si>
  <si>
    <t>regla de decision: se rechaza H0 si  value &lt; alfa</t>
  </si>
  <si>
    <t>como casi cero es menor a 0,01, se rechazo H0</t>
  </si>
  <si>
    <r>
      <rPr>
        <rFont val="Times New Roman"/>
        <color theme="1"/>
        <sz val="11.0"/>
      </rPr>
      <t xml:space="preserve">1. En una investigación de hábitos de gasto de alimentos entre amas de casa de una cierta comunidad, una muestra de 9 amas de casa nos da gastos semanales de 49 mil, 53 mil, 65 mil, 52 mil, 74 mil, 54 mil, 68 mil, 54 mil, y 63 mil colones.  Pruebe que la media de la población difiere de 65 mil colones semanales, con un </t>
    </r>
    <r>
      <rPr>
        <rFont val="Symbol"/>
        <color theme="1"/>
        <sz val="11.0"/>
      </rPr>
      <t>a</t>
    </r>
    <r>
      <rPr>
        <rFont val="Times New Roman"/>
        <color theme="1"/>
        <sz val="11.0"/>
      </rPr>
      <t>=0.10.</t>
    </r>
  </si>
  <si>
    <t>PRUEVA T</t>
  </si>
  <si>
    <t>RECUÉRDESE QUE LA PRUEBA t SUPONE QUE LA VARIABLE ORIGINAL (Los gastos) SE DISTRIBUYEN NORMALMENTE.</t>
  </si>
  <si>
    <t>HAY QUE USAR ALGUNA PRUEBA DE BONDAD DE AJUSTE PARA ANALIZAR SI SE PUEDE SUPONER NORMALIDAD.</t>
  </si>
  <si>
    <t>SI SE PUEDE SUPONER NORMALIDAD, SE USA LA PRUEBA t, SI NO SE PUEDE SUPONER NORMALIDAD, SE USA LA PRUEBA DE LA MEDIANA.</t>
  </si>
  <si>
    <t>ho: mu=</t>
  </si>
  <si>
    <t>mil colones</t>
  </si>
  <si>
    <t>h1: mu dif</t>
  </si>
  <si>
    <t>se calcula el t tabular</t>
  </si>
  <si>
    <t>t-tabular=</t>
  </si>
  <si>
    <t xml:space="preserve"> +-</t>
  </si>
  <si>
    <t>t[1-alfa/2,n-1gl]</t>
  </si>
  <si>
    <t>t[1-0,1/2,n-1gl]</t>
  </si>
  <si>
    <t>t[0,9/2,8gl]</t>
  </si>
  <si>
    <t>4. se calcula la media y se estandariza para calcular el t calculado</t>
  </si>
  <si>
    <t>x varra</t>
  </si>
  <si>
    <t>des vest</t>
  </si>
  <si>
    <t xml:space="preserve"> =</t>
  </si>
  <si>
    <t>(59,11-65)</t>
  </si>
  <si>
    <t xml:space="preserve"> </t>
  </si>
  <si>
    <t>raiz(9)</t>
  </si>
  <si>
    <t>se observa si el t calculado cae o no en la zona de rechazo</t>
  </si>
  <si>
    <t>5.conclusion</t>
  </si>
  <si>
    <t>como el t calculado cae en la zona de rechazo, hay suficiente evidencia estadistica para rechazar la hipotesis nula de que la media es igual a 65 mil colones con un alfa de 0,1</t>
  </si>
  <si>
    <t>falta el de las unidades de medicion</t>
  </si>
  <si>
    <t>Como 0,074&lt;0,1, entonces se rechaza Ho</t>
  </si>
  <si>
    <t>hay suficiente evidencia estadistica para rechazar la hipotesis nula de que la media es igual a 65 mil colones, con un sigma de 0,1</t>
  </si>
  <si>
    <t>prueba t con las unidades de medición</t>
  </si>
  <si>
    <t>2.</t>
  </si>
  <si>
    <t>se calcula la media</t>
  </si>
  <si>
    <t>x_ barra</t>
  </si>
  <si>
    <t>desv est= s=</t>
  </si>
  <si>
    <t xml:space="preserve">3. </t>
  </si>
  <si>
    <t>se calcula el x_barra tabular</t>
  </si>
  <si>
    <t>t[0,9/2,9gl]</t>
  </si>
  <si>
    <t>x_barra tabular</t>
  </si>
  <si>
    <t>zonas de rechazo/ no rechazo</t>
  </si>
  <si>
    <t>4.</t>
  </si>
  <si>
    <t>se ve si el x_barra cae en la zona de rechazo o no rechazo definido por el x barra tabular</t>
  </si>
  <si>
    <t>5. conclucion</t>
  </si>
  <si>
    <t>como el x barra es menor a 59,66 cae en la zona de rechazo por ende</t>
  </si>
  <si>
    <t>hay suficiente evidencia estadistica para rechazar la hipotesis nula de que la media es igual a 65 mil colones, con una significancia de 10%</t>
  </si>
  <si>
    <t>la prueba de la media</t>
  </si>
  <si>
    <t>prueba no parametrica</t>
  </si>
  <si>
    <t>S</t>
  </si>
  <si>
    <t>p=0,5 porque la mediana divide los datos 50/50</t>
  </si>
  <si>
    <r>
      <rPr>
        <rFont val="Times New Roman"/>
        <color theme="1"/>
        <sz val="11.0"/>
      </rPr>
      <t xml:space="preserve">1. Un político se presenta en unas elecciones, y él cree que ha logrado el 55% de la votación.  Si se toma una muestra de 196 votantes y 100 de ellos contestan que votaron por este político.  Con un </t>
    </r>
    <r>
      <rPr>
        <rFont val="Symbol"/>
        <color theme="1"/>
        <sz val="11.0"/>
      </rPr>
      <t>a</t>
    </r>
    <r>
      <rPr>
        <rFont val="Times New Roman"/>
        <color theme="1"/>
        <sz val="11.0"/>
      </rPr>
      <t xml:space="preserve">=0.05, pruebe que la proporción que votó por el político es diferente a 55%.  </t>
    </r>
  </si>
  <si>
    <t>prueba z</t>
  </si>
  <si>
    <t>se plantea la hipotesis nula y alternativa y se describe la informacion del enunciado</t>
  </si>
  <si>
    <t>h0: p=0,55</t>
  </si>
  <si>
    <t>h0: p dif 0,56</t>
  </si>
  <si>
    <t>n=196</t>
  </si>
  <si>
    <t>prueva parametrica para proporciones cuando n &gt; 100</t>
  </si>
  <si>
    <t>x= 100 votantes piensan votar por el politico</t>
  </si>
  <si>
    <t>3. se calcula el p techo calculado y el p tabular</t>
  </si>
  <si>
    <t>p techo=</t>
  </si>
  <si>
    <t>x</t>
  </si>
  <si>
    <t>n</t>
  </si>
  <si>
    <t xml:space="preserve">como es de dos colas, se tiene que p tabular </t>
  </si>
  <si>
    <t>z[0,975]=</t>
  </si>
  <si>
    <t>4. se dibula la zona de rechazo/ no rechazo</t>
  </si>
  <si>
    <t>unidades de medicion</t>
  </si>
  <si>
    <t>p techo es igual a 0,51, lo cual quiere decir que cae en la zona de no rechazo</t>
  </si>
  <si>
    <t>entonces, no hay suficiente evidencia estadistica para rechazar la hipotesis nula de que la proporcion de votantes por el politico es de 55% con una significancia del 5%</t>
  </si>
  <si>
    <t xml:space="preserve">metodo de los cuantilos </t>
  </si>
  <si>
    <t>1.se vuelve a plantear las hipotesis</t>
  </si>
  <si>
    <t>como es una prueba de dos colas, entonces</t>
  </si>
  <si>
    <t xml:space="preserve">  +-</t>
  </si>
  <si>
    <t>3. se calcula el z calculado</t>
  </si>
  <si>
    <t>como el z calculado es de -1,13 cae en la zona  de no rechazo, entonces No se rechaza H0</t>
  </si>
  <si>
    <t>METODO DEL P VALUE</t>
  </si>
  <si>
    <t>1. se calcula el p value</t>
  </si>
  <si>
    <t>se rechaza si en pvalue&lt;  alfa</t>
  </si>
  <si>
    <t>como 0,285&gt; 0,05, entonces no se rechaza H0</t>
  </si>
  <si>
    <r>
      <rPr>
        <rFont val="Times New Roman"/>
        <color theme="1"/>
        <sz val="11.0"/>
      </rPr>
      <t xml:space="preserve">1. Ahora el político está preocupado porque encontró que en un distrito electoral le fue muy mal.  Toma una muestra al azar de 15 votantes y les pregunta si votaron por él o no.  Sólo 5 de ellos votaron por él. Realice una prueba de hipótesis para ver si el político sacó menos de 55%, con un </t>
    </r>
    <r>
      <rPr>
        <rFont val="Symbol"/>
        <color theme="1"/>
        <sz val="11.0"/>
      </rPr>
      <t>a</t>
    </r>
    <r>
      <rPr>
        <rFont val="Times New Roman"/>
        <color theme="1"/>
        <sz val="11.0"/>
      </rPr>
      <t>=0.10</t>
    </r>
  </si>
  <si>
    <t>pruba exacta binomial</t>
  </si>
  <si>
    <t>n= 15</t>
  </si>
  <si>
    <t>x=5</t>
  </si>
  <si>
    <t>para efectos de la prueba p techo no es necesario</t>
  </si>
  <si>
    <t>2. se calcula el p value</t>
  </si>
  <si>
    <t>en la prueba exacta binomial, el supuesto es que la cantidad de personas con el evento tiene una distribucion binomial</t>
  </si>
  <si>
    <t>con m=n y p = pk don de pk es el valor planteadp en la hipotesis nula</t>
  </si>
  <si>
    <t>esta prueba es de una cola porque H1: p&lt;0,55</t>
  </si>
  <si>
    <t>2. se grafica las zonas de rechazo y no rechazo en forma acumulada "menos de y mas de"</t>
  </si>
  <si>
    <t>se calcula con la distribucion binomial</t>
  </si>
  <si>
    <t>como el 5 esta en la zon de rechazo rechazo la hipitesis nula\</t>
  </si>
  <si>
    <t>o sea la zonade rechazo s puede definir simbolica mente como:</t>
  </si>
  <si>
    <r>
      <rPr>
        <rFont val="Calibri"/>
        <color theme="1"/>
      </rPr>
      <t>(x</t>
    </r>
    <r>
      <rPr>
        <rFont val="Calibri"/>
        <color theme="1"/>
        <sz val="11.0"/>
      </rPr>
      <t>≤5)</t>
    </r>
  </si>
  <si>
    <t>zona de rechazo</t>
  </si>
  <si>
    <t>zona de no rechazo</t>
  </si>
  <si>
    <t>alfa es 0,10</t>
  </si>
  <si>
    <t>para separar la zona de rechazo tiene que buscar el alfa/2 y el 1-alfa/2</t>
  </si>
  <si>
    <r>
      <rPr>
        <rFont val="Calibri"/>
        <color theme="1"/>
      </rPr>
      <t>en este caso la zona de rechazo se definiria como: (x</t>
    </r>
    <r>
      <rPr>
        <rFont val="Calibri"/>
        <color theme="1"/>
        <sz val="11.0"/>
      </rPr>
      <t>≤4) unido(x≥11)</t>
    </r>
  </si>
  <si>
    <t>DOS VARIABLES CUALITATIVAS</t>
  </si>
  <si>
    <t>tabla de 1. comunidad x.red social(no especializada) preferida por grupo de edad</t>
  </si>
  <si>
    <t>red social</t>
  </si>
  <si>
    <t>facebook</t>
  </si>
  <si>
    <t>instagram</t>
  </si>
  <si>
    <t>toktok</t>
  </si>
  <si>
    <t>total</t>
  </si>
  <si>
    <t>ejemplo se desea analizar si existe asociacion entre el grupo de edad y la red social favorita en una muestra aleatoria de 150 personas con una significancia del 5%</t>
  </si>
  <si>
    <t>adulto joven</t>
  </si>
  <si>
    <t>adulto de edad media</t>
  </si>
  <si>
    <t>adulto mayor</t>
  </si>
  <si>
    <t>h0: el gupo de edad y red social favorita son independientes</t>
  </si>
  <si>
    <t>NO ESTAN ASOCIADOS</t>
  </si>
  <si>
    <t>frecuencias esperadas</t>
  </si>
  <si>
    <t>h1: el gupo de edad y red social favorita no son independientes</t>
  </si>
  <si>
    <t>SI ESTAN ASOCIADOS</t>
  </si>
  <si>
    <t>grupo de edad</t>
  </si>
  <si>
    <t>independientes = no asociados</t>
  </si>
  <si>
    <t>notese que todas las frecuencias esperadas son mayores a 5</t>
  </si>
  <si>
    <t>se cumple el supuesto de x2 y g2</t>
  </si>
  <si>
    <t>prueba x2</t>
  </si>
  <si>
    <t>como el 61.41 cae en la zona de rechazo</t>
  </si>
  <si>
    <t>hay suficiente evidencia estadistca para rechazar h0 de que el grupo de edad y la red social son independientes, con u alfa de 5%</t>
  </si>
  <si>
    <t>GL=(col-1)*(filas-1)</t>
  </si>
  <si>
    <t>con el metodo del p value</t>
  </si>
  <si>
    <t>se llega a la misma conclusion se rehaza porque p value &lt; alfa</t>
  </si>
  <si>
    <t>prueba g2</t>
  </si>
  <si>
    <t>como el 69.49 cae en la zona de rechazo</t>
  </si>
  <si>
    <t>Si se acerca a 0 la asociiacion es debil, si se acarca a 1 la asociacion es fuerte y si se acarca a 0,5 es moderada</t>
  </si>
  <si>
    <t>ese 3 es el minimo de filas o columnas que tengo, en este caso ambas son iguales</t>
  </si>
  <si>
    <t>coeficiente de contigencia solo se calcula con x2</t>
  </si>
  <si>
    <t>ODDS RATIO Y RIESGO RELATIVO</t>
  </si>
  <si>
    <t>tiktok</t>
  </si>
  <si>
    <t xml:space="preserve">adolecentes </t>
  </si>
  <si>
    <t>veintea..eros</t>
  </si>
  <si>
    <t>por ejemplo, yo puedo definir que mi evento de interes es preferir tik tok sobre instagram y quiero comparar adolecentes vs veintea,,eros</t>
  </si>
  <si>
    <t>para el or y el rr, lo importantes es definir los grupos de comparacion y el evento de interes</t>
  </si>
  <si>
    <t xml:space="preserve">   =</t>
  </si>
  <si>
    <t xml:space="preserve">interpretacion los odds de preferir tiktok en lugar de instagram entre adolecentes es 3 veces los odds de preferirtiktok sobre instagtam entre veintea;oeros </t>
  </si>
  <si>
    <t>ahora el rr</t>
  </si>
  <si>
    <t>interpretacion la probabilidad de preferir tiktok en lugar de instagram entre adolecentes es de 1.4 veces la prob de preferir tiktok sobre instagram</t>
  </si>
  <si>
    <t>calculen el OR y el RR de ser veintea..ero en lugar de ser adolencente entre los usuarios de tiktok comparado con los usuarios de ….</t>
  </si>
  <si>
    <t>SON  DESCRIPTIVOS C, V, OR, RR</t>
  </si>
  <si>
    <t>solo la vamos a hacer 2x2</t>
  </si>
  <si>
    <t>h0: la red social y el grupo de edad no estan asociados</t>
  </si>
  <si>
    <t>h1: le red social y el grupo de edad si estan asociados</t>
  </si>
  <si>
    <t>probabilidades</t>
  </si>
  <si>
    <t>como or es diferente de 1 el p value se calcula</t>
  </si>
  <si>
    <t>como el p value es mayor a alfa, no se rechaza h0</t>
  </si>
  <si>
    <t>respuesta: no hay suficiente evidencia estadistica para rechazar la hipotesis de que ….</t>
  </si>
  <si>
    <t>VARIABLES CUANTITATIVAS</t>
  </si>
  <si>
    <t>total(x)</t>
  </si>
  <si>
    <t>page 1 (y)</t>
  </si>
  <si>
    <t>x2</t>
  </si>
  <si>
    <t>y2</t>
  </si>
  <si>
    <t>xy</t>
  </si>
  <si>
    <t>x-xbarra</t>
  </si>
  <si>
    <t>(x-xbarra)^2</t>
  </si>
  <si>
    <t>y-ybarra</t>
  </si>
  <si>
    <t>(y-ybarra)^2</t>
  </si>
  <si>
    <t>(x-xbarra)*(y-ybarra)</t>
  </si>
  <si>
    <t>suma de x</t>
  </si>
  <si>
    <t>suma de y</t>
  </si>
  <si>
    <t>suma de x2</t>
  </si>
  <si>
    <t>suma de y2</t>
  </si>
  <si>
    <t>suma 2 desvx</t>
  </si>
  <si>
    <t>suma 2 desvy</t>
  </si>
  <si>
    <t>suma desvx*desvy</t>
  </si>
  <si>
    <t>x barra</t>
  </si>
  <si>
    <t>y barra</t>
  </si>
  <si>
    <t>numer=</t>
  </si>
  <si>
    <t>cov.xy</t>
  </si>
  <si>
    <t>demon1=</t>
  </si>
  <si>
    <t>denominador</t>
  </si>
  <si>
    <t>desvx</t>
  </si>
  <si>
    <t>denom2=</t>
  </si>
  <si>
    <t>desv y</t>
  </si>
  <si>
    <t>r=</t>
  </si>
  <si>
    <t>coeficiente de correlacion</t>
  </si>
  <si>
    <t>glucosa(en g/dl)</t>
  </si>
  <si>
    <t>id</t>
  </si>
  <si>
    <t>Xi-xbarra</t>
  </si>
  <si>
    <t>(Xi-xbarra)^2</t>
  </si>
  <si>
    <t>Yi-ybarra</t>
  </si>
  <si>
    <t>(Yi-ybarra)^2</t>
  </si>
  <si>
    <t>(Xi-xbarra)*(Yi-ybarra)</t>
  </si>
  <si>
    <t>promedio</t>
  </si>
  <si>
    <t>siempre es 0</t>
  </si>
  <si>
    <t>ds</t>
  </si>
  <si>
    <t>la asociacion entre … y … es moderada y positiva, a medidad de que aumenta la glucosa aunmenta la emoglobina</t>
  </si>
  <si>
    <t xml:space="preserve">correlacio de pearson </t>
  </si>
  <si>
    <t xml:space="preserve">prueba de hipotesis para la correlacion de pearson </t>
  </si>
  <si>
    <t>t calculado</t>
  </si>
  <si>
    <t>hay suficiente evidencia estadistica para rechazar la ho de rho es = 0</t>
  </si>
  <si>
    <t>R DE SPEARMAN</t>
  </si>
  <si>
    <t>lo ordeno por Y</t>
  </si>
  <si>
    <t>HbA1C PPT</t>
  </si>
  <si>
    <t>Rango X</t>
  </si>
  <si>
    <t>Rango X*</t>
  </si>
  <si>
    <t>rango Y</t>
  </si>
  <si>
    <t>Rango Y*</t>
  </si>
  <si>
    <t>d1</t>
  </si>
  <si>
    <t>di^2</t>
  </si>
  <si>
    <t>analizar cuando hay empates</t>
  </si>
  <si>
    <t>Tx=</t>
  </si>
  <si>
    <t>Ty=</t>
  </si>
  <si>
    <t>rs=</t>
  </si>
  <si>
    <t>calcular metodo del p value</t>
  </si>
  <si>
    <t>Tau de Kendall</t>
  </si>
  <si>
    <t>se recomienda  en la Tao de kendall ordenar con respecto a la variable con menos empates</t>
  </si>
  <si>
    <t>valores mayores estrictos a el  valor de yi</t>
  </si>
  <si>
    <t>valores menores estrictos a el  valor de yi</t>
  </si>
  <si>
    <t>S+</t>
  </si>
  <si>
    <t>S-</t>
  </si>
  <si>
    <t>TAO DE KENDALL NO PARAMETRICA</t>
  </si>
  <si>
    <t>s=S+  -  S-=</t>
  </si>
  <si>
    <t>Calcular el p value</t>
  </si>
  <si>
    <t>eta</t>
  </si>
  <si>
    <t>indice de masa corp</t>
  </si>
  <si>
    <t>glucosa</t>
  </si>
  <si>
    <t>bajo peso(&lt;18,5)</t>
  </si>
  <si>
    <t>hacer tablas dinamicas</t>
  </si>
  <si>
    <t>peso normal( 18,5-24,9)</t>
  </si>
  <si>
    <t>Cuenta de glucosa</t>
  </si>
  <si>
    <t>Promedio de glucosa2</t>
  </si>
  <si>
    <t>Var de glucosa3</t>
  </si>
  <si>
    <t>obesidad(30 +)</t>
  </si>
  <si>
    <t>sobre peso(25 - 29,9)</t>
  </si>
  <si>
    <t>Suma total</t>
  </si>
  <si>
    <t>Suponga que tiene 10 pacientes hipertensos a los cuales se les receta una medicina nueva para controlar la presion arterial</t>
  </si>
  <si>
    <t>se tiene la medicion de la presion sistolica antes de la receta y tres semanas despues de estar tomando la medicina</t>
  </si>
  <si>
    <t>el objetivo es analizar si la medicina ayudo a reducir la presion sistolica</t>
  </si>
  <si>
    <t>ho: miu1=miu2</t>
  </si>
  <si>
    <t>miud = 0</t>
  </si>
  <si>
    <t>promedio de las diferencias en la poblacion = miud</t>
  </si>
  <si>
    <t>h1: miu1&gt;miu2</t>
  </si>
  <si>
    <t>miud &gt; 0</t>
  </si>
  <si>
    <t>p sistolicas antes</t>
  </si>
  <si>
    <t>p sistolicas despues</t>
  </si>
  <si>
    <t>personas</t>
  </si>
  <si>
    <t>diferencias</t>
  </si>
  <si>
    <t>prueba t pareada</t>
  </si>
  <si>
    <t>prueba parametrica</t>
  </si>
  <si>
    <t>Hacer el supuesto de que las diferencias bienen de una distr normal, si no se cumple wilcoxon</t>
  </si>
  <si>
    <t>como en este caso h0=0 al promedio de las diferencias no se resta nada, en caso contrario debe de hacerse</t>
  </si>
  <si>
    <t>sd</t>
  </si>
  <si>
    <t>tt=t(1- alfa,n-1 gl)</t>
  </si>
  <si>
    <t>hay suficiente evidencia estadistica para rechazar la hipotesis nula</t>
  </si>
  <si>
    <t>p value menor a alfa rechazo H0</t>
  </si>
  <si>
    <t>RANGOS DE WILCOXON</t>
  </si>
  <si>
    <t>ordeno desde las dif abs de menor a mayor</t>
  </si>
  <si>
    <t>le coloco el sino de las diferencias</t>
  </si>
  <si>
    <t>corrigo por empates</t>
  </si>
  <si>
    <t>dif abs</t>
  </si>
  <si>
    <t>rango</t>
  </si>
  <si>
    <t>rango*</t>
  </si>
  <si>
    <t>rango signo</t>
  </si>
  <si>
    <t>Wilcoxom</t>
  </si>
  <si>
    <t>n*=</t>
  </si>
  <si>
    <t>numero de clases que la diferencia no es cero</t>
  </si>
  <si>
    <t>suma de enteros positivos S+</t>
  </si>
  <si>
    <t>suma de enteros negativos S-</t>
  </si>
  <si>
    <t>w= min(|-6|, |39|)=</t>
  </si>
  <si>
    <t>(n*+1*n*)/2</t>
  </si>
  <si>
    <t>para saber hasta donde llega ZR</t>
  </si>
  <si>
    <t>prueba de signos</t>
  </si>
  <si>
    <t xml:space="preserve"> signos</t>
  </si>
  <si>
    <t xml:space="preserve"> - </t>
  </si>
  <si>
    <t>(-)=</t>
  </si>
  <si>
    <t>positivos * por ser de una cola (+)</t>
  </si>
  <si>
    <t>si es de dos colas se elige el menor entre los positivos y negativos</t>
  </si>
  <si>
    <t>Mac nemar</t>
  </si>
  <si>
    <t>solo la vamos a ver de dos colas</t>
  </si>
  <si>
    <t>como es mayor a 20 se puede usar la macnemar</t>
  </si>
  <si>
    <t>33+4</t>
  </si>
  <si>
    <t>solo se usa un grado de libertad</t>
  </si>
  <si>
    <t xml:space="preserve">cuando no se cumple el supuesto </t>
  </si>
  <si>
    <t>menor a alfa, rechazo</t>
  </si>
  <si>
    <t>gl=</t>
  </si>
  <si>
    <t>n-2=</t>
  </si>
  <si>
    <t>df=98</t>
  </si>
  <si>
    <t>h0: rho=0</t>
  </si>
  <si>
    <t>h1: rho dif de 0</t>
  </si>
  <si>
    <t>valor de t calculado</t>
  </si>
  <si>
    <t>r de person=</t>
  </si>
  <si>
    <t>rho=</t>
  </si>
  <si>
    <t>tao=</t>
  </si>
  <si>
    <t>z calculado=</t>
  </si>
  <si>
    <t>las hipotesis nilas serian</t>
  </si>
  <si>
    <t>r de spearman</t>
  </si>
  <si>
    <t>h0: rho_s=0</t>
  </si>
  <si>
    <t>r de pearson</t>
  </si>
  <si>
    <t>tao de kendall</t>
  </si>
  <si>
    <t>h0: tao=0</t>
  </si>
  <si>
    <t>hay suficiente evidencia estadistica para rechazar en los tres casos</t>
  </si>
  <si>
    <t>var cualitativa y cuantitativa se usa eta</t>
  </si>
  <si>
    <t xml:space="preserve"> eta se interpreta como r de pearson, pero solo puede tomar valores positinos</t>
  </si>
  <si>
    <t>eta=</t>
  </si>
  <si>
    <t>caso de dif en r y excel tao y spearman</t>
  </si>
  <si>
    <t>nivel de escolaridad</t>
  </si>
  <si>
    <t>puesto que ocupa</t>
  </si>
  <si>
    <t>rango x</t>
  </si>
  <si>
    <t>rango x*</t>
  </si>
  <si>
    <t>rango y</t>
  </si>
  <si>
    <t>rango y*</t>
  </si>
  <si>
    <t>d1^2</t>
  </si>
  <si>
    <t>el resultado de tx da 8</t>
  </si>
  <si>
    <t>el resultado de ty da 4</t>
  </si>
  <si>
    <t>r de spearman=  0,9641206</t>
  </si>
  <si>
    <t>posicion</t>
  </si>
  <si>
    <t>nombre</t>
  </si>
  <si>
    <t>altura</t>
  </si>
  <si>
    <t>Brandon</t>
  </si>
  <si>
    <t>David</t>
  </si>
  <si>
    <t>Jose Pablo</t>
  </si>
  <si>
    <t>limite inf</t>
  </si>
  <si>
    <t>Manrique</t>
  </si>
  <si>
    <t>limite sup</t>
  </si>
  <si>
    <t>Valeria</t>
  </si>
  <si>
    <t>error estandar</t>
  </si>
  <si>
    <t>t tabular</t>
  </si>
  <si>
    <t>h0: mu =</t>
  </si>
  <si>
    <r>
      <rPr>
        <rFont val="Calibri"/>
        <color theme="1"/>
      </rPr>
      <t xml:space="preserve">h1: mu </t>
    </r>
    <r>
      <rPr>
        <rFont val="Calibri"/>
        <color theme="1"/>
        <sz val="11.0"/>
      </rPr>
      <t>≠</t>
    </r>
  </si>
  <si>
    <t>Calcular los intervalos de confianza no parametricas</t>
  </si>
  <si>
    <t>muestras</t>
  </si>
  <si>
    <t>Calcular los intervalos e confianza no parametricas</t>
  </si>
  <si>
    <t>promedio de promedios</t>
  </si>
  <si>
    <t>intervalos de bootstrap (no parametricos)</t>
  </si>
  <si>
    <t>error estandar de bootstrap</t>
  </si>
  <si>
    <t>sesgo de boostrap</t>
  </si>
  <si>
    <t>pecentil 2,5=</t>
  </si>
  <si>
    <t>pecentil 97,5=</t>
  </si>
  <si>
    <t>intervalo de confianza teorico</t>
  </si>
  <si>
    <t>error estandar teorico</t>
  </si>
  <si>
    <t>Clase</t>
  </si>
  <si>
    <t>Frecuencia</t>
  </si>
  <si>
    <t>y mayor...</t>
  </si>
  <si>
    <t xml:space="preserve">Prueba de hipotesis para dos medidas de muestras indenpedientes </t>
  </si>
  <si>
    <t>suponendo que no se conoce la varianza poblacional y n1 o n2 es grande</t>
  </si>
  <si>
    <t>Ejemplo de prueba para dos medias con muestras independientes</t>
  </si>
  <si>
    <t>se hizo un examen a dos clases formandas por 40 y 50 estudiantes asignados al azar respectivamente. En la primera clase la puntuación media fue de 74 con una ds de 7, mientras que en la segunda clase la puntuación media fue de 78 con una ds de 8 ¿hay diferencia significativa entre los resultados de las dos clases a un nivel de significancia de 0,01?</t>
  </si>
  <si>
    <t>HO: MIU1=MIU2=&gt; MIU1-MIU2=0</t>
  </si>
  <si>
    <t>xbarra1=</t>
  </si>
  <si>
    <r>
      <rPr>
        <rFont val="Calibri"/>
        <color theme="1"/>
      </rPr>
      <t xml:space="preserve">HO: MIU1 </t>
    </r>
    <r>
      <rPr>
        <rFont val="Calibri"/>
        <color theme="1"/>
        <sz val="11.0"/>
      </rPr>
      <t>≠</t>
    </r>
    <r>
      <rPr>
        <rFont val="Calibri"/>
        <color theme="1"/>
        <sz val="11.0"/>
      </rPr>
      <t>MIU2=&gt; MIU1-MIU2 ≠0</t>
    </r>
  </si>
  <si>
    <t>sd1=</t>
  </si>
  <si>
    <t>n1=</t>
  </si>
  <si>
    <t>ALFA=</t>
  </si>
  <si>
    <t>xbarra2=</t>
  </si>
  <si>
    <t>sd2=</t>
  </si>
  <si>
    <t>z tabular=+-z[1-alfa/2]</t>
  </si>
  <si>
    <t>n2=</t>
  </si>
  <si>
    <t>z tabular=</t>
  </si>
  <si>
    <t>x1-x2=</t>
  </si>
  <si>
    <t>supongo que ambos promedios son iguales</t>
  </si>
  <si>
    <t>z calculado</t>
  </si>
  <si>
    <t>No hay suficiente evidencia estadistica para rechazar la hipotesis nula de que miu1= miu2</t>
  </si>
  <si>
    <t>como p value&gt; alfa entonces, no hay suficiente evidencia estadistica para rechazar la hipotesis nula de que miu1=miu2</t>
  </si>
  <si>
    <t>2.  Suponga que se tienen dos marcas de maní, Sabemenos y "El maní feliz".  Un investigador en mercadeo les dio a probar a 10 personas una muestra del maní 
Sabemenos y a 12 personas una muestra del maní "El maní feliz", y les dijo que calificaran el grado de salado que tuviera el maní, con una calificación
entre 0 y 10, donde 0 era nada salado y 10 muy salado</t>
  </si>
  <si>
    <t>Las personas de la primera muestra dieron una calificacion promedio de 7,6 con una ds de 1,075</t>
  </si>
  <si>
    <t>Las personas de la segunda muestra dieron una calificacion promedio de 6,75 con una ds de 1,545</t>
  </si>
  <si>
    <t>a) Pruebe que la calificación promedio del maní Sabemenos y la del "Maní Feliz" son distintas, con un alfa de 0.05, suponiendo variancias iguales</t>
  </si>
  <si>
    <t>b)  Haga la misma prueba suponiendo variancias desiguales.</t>
  </si>
  <si>
    <t>c)  Realice una prueba F para probar si las variancias son desiguales o no.</t>
  </si>
  <si>
    <t>GRAN SUPUESTO: CALIFICACIONES PROVIENEN DE UNA POB CON DISTRIBICION NORMAL</t>
  </si>
  <si>
    <t>Suponiendo que las varianzas poblacionales son iguales algun ni&lt;=30</t>
  </si>
  <si>
    <r>
      <rPr>
        <rFont val="Calibri"/>
        <color theme="1"/>
      </rPr>
      <t xml:space="preserve">HO: MIU1 </t>
    </r>
    <r>
      <rPr>
        <rFont val="Calibri"/>
        <color theme="1"/>
        <sz val="11.0"/>
      </rPr>
      <t>≠</t>
    </r>
    <r>
      <rPr>
        <rFont val="Calibri"/>
        <color theme="1"/>
        <sz val="11.0"/>
      </rPr>
      <t>MIU2=&gt; MIU1-MIU2 ≠0</t>
    </r>
  </si>
  <si>
    <t>var1=</t>
  </si>
  <si>
    <t>var2=</t>
  </si>
  <si>
    <t>Se calcula primero la varieanza comun:</t>
  </si>
  <si>
    <t>suponiendo varianzas poblacionales desiguales algun n1&lt;=30</t>
  </si>
  <si>
    <t>Realice una prueba F para probar si as varianzas son desiguales o no</t>
  </si>
  <si>
    <t xml:space="preserve">U de Man Whitney </t>
  </si>
  <si>
    <t>Datos originales</t>
  </si>
  <si>
    <t>salado</t>
  </si>
  <si>
    <t>mani</t>
  </si>
  <si>
    <t>marca</t>
  </si>
  <si>
    <t>[1,]</t>
  </si>
  <si>
    <t>mani feliz</t>
  </si>
  <si>
    <t>[2,]</t>
  </si>
  <si>
    <t>sabemoenos</t>
  </si>
  <si>
    <t>[3,]</t>
  </si>
  <si>
    <t>[4,]</t>
  </si>
  <si>
    <t>[5,]</t>
  </si>
  <si>
    <t>[6,]</t>
  </si>
  <si>
    <t>[7,]</t>
  </si>
  <si>
    <t>[8,]</t>
  </si>
  <si>
    <t>[9,]</t>
  </si>
  <si>
    <t>[10,]</t>
  </si>
  <si>
    <t>[11,]</t>
  </si>
  <si>
    <t>[12,]</t>
  </si>
  <si>
    <t>[13,]</t>
  </si>
  <si>
    <t>[14,]</t>
  </si>
  <si>
    <t>[15,]</t>
  </si>
  <si>
    <t>[16,]</t>
  </si>
  <si>
    <t>[17,]</t>
  </si>
  <si>
    <t>[18,]</t>
  </si>
  <si>
    <t>[19,]</t>
  </si>
  <si>
    <t>[20,]</t>
  </si>
  <si>
    <t>[21,]</t>
  </si>
  <si>
    <t>[22,]</t>
  </si>
  <si>
    <t>R2=</t>
  </si>
  <si>
    <t>r1 es del de menor muestra</t>
  </si>
  <si>
    <t>R1=</t>
  </si>
  <si>
    <t>PRUEBA Z PARA DOS PROPORCIONES</t>
  </si>
  <si>
    <t>bajo peso al nacer</t>
  </si>
  <si>
    <t>madre fumadora</t>
  </si>
  <si>
    <t>madre no fumadora</t>
  </si>
  <si>
    <t>(menos de 2,5 kg)</t>
  </si>
  <si>
    <t>si</t>
  </si>
  <si>
    <t>no</t>
  </si>
  <si>
    <t>estimaciones en porcentaje</t>
  </si>
  <si>
    <t>Ho: p1=p2</t>
  </si>
  <si>
    <t>h0: p1-p2=0</t>
  </si>
  <si>
    <r>
      <rPr>
        <rFont val="Calibri"/>
        <color theme="1"/>
        <sz val="11.0"/>
      </rPr>
      <t>H1: p1</t>
    </r>
    <r>
      <rPr>
        <rFont val="Calibri"/>
        <color theme="1"/>
        <sz val="11.0"/>
      </rPr>
      <t>≠</t>
    </r>
    <r>
      <rPr>
        <rFont val="Calibri"/>
        <color theme="1"/>
        <sz val="11.0"/>
      </rPr>
      <t>p3</t>
    </r>
  </si>
  <si>
    <r>
      <rPr>
        <rFont val="Calibri"/>
        <color theme="1"/>
      </rPr>
      <t>h1: p1-p2</t>
    </r>
    <r>
      <rPr>
        <rFont val="Calibri"/>
        <color theme="1"/>
        <sz val="11.0"/>
      </rPr>
      <t>≠0</t>
    </r>
  </si>
  <si>
    <t>p techo[1]=</t>
  </si>
  <si>
    <t>z tabular= +-z[1-alfa/2]=</t>
  </si>
  <si>
    <t>p techo[2]=</t>
  </si>
  <si>
    <t>p barra=</t>
  </si>
  <si>
    <t>q barra=</t>
  </si>
  <si>
    <t>Se rechaza</t>
  </si>
  <si>
    <t>d)</t>
  </si>
  <si>
    <t>La mas recomendable es la segunda manera de plantear las hipotesis.</t>
  </si>
  <si>
    <t>f)</t>
  </si>
  <si>
    <t>No se rechaza</t>
  </si>
  <si>
    <t>g)</t>
  </si>
  <si>
    <t>350/393 en limon</t>
  </si>
  <si>
    <t>578/691 en san jose</t>
  </si>
  <si>
    <t>h)</t>
  </si>
  <si>
    <t>Los odds de consumir Paty entre los de Limón son 1.59 veces los odd de consumir Paty entre los de San José</t>
  </si>
  <si>
    <t>zc= [ptecho1-ptecho2-(p1-p2)]raiz(pbarra*qbarra*(1/n1+1/n2))</t>
  </si>
  <si>
    <t>consumo de paty</t>
  </si>
  <si>
    <t>Limon</t>
  </si>
  <si>
    <t>San Jose</t>
  </si>
  <si>
    <t>Total</t>
  </si>
  <si>
    <t>ptecho1=</t>
  </si>
  <si>
    <t>ptecho2=</t>
  </si>
  <si>
    <t>pbarra=</t>
  </si>
  <si>
    <t>(n1*ptecho1+n2*ptecho2)/(n1+n2)</t>
  </si>
  <si>
    <t>p vale=</t>
  </si>
  <si>
    <t>p(z&lt;= -!2.44! + p(z&gt;=!2.44!)</t>
  </si>
  <si>
    <t>muestra de 15 supermecados. Ventas en miles de colones diarias de un nuevo producto X</t>
  </si>
  <si>
    <t>venta (en miles de colones)</t>
  </si>
  <si>
    <t>azul</t>
  </si>
  <si>
    <t>verde</t>
  </si>
  <si>
    <t>naranja</t>
  </si>
  <si>
    <t>promedios</t>
  </si>
  <si>
    <t>des est</t>
  </si>
  <si>
    <t>varianza</t>
  </si>
  <si>
    <t>h0: miu1=miu2=miu3</t>
  </si>
  <si>
    <t>h1: almenos una mui sub I diferente a miu sub j para i diferente de j</t>
  </si>
  <si>
    <t>f tabular</t>
  </si>
  <si>
    <t>suma de cuadrados del error</t>
  </si>
  <si>
    <t>se rechaza</t>
  </si>
  <si>
    <t>suma de cuadrados del total</t>
  </si>
  <si>
    <t>fuente de variacion</t>
  </si>
  <si>
    <t>SC</t>
  </si>
  <si>
    <t>grados de libertad</t>
  </si>
  <si>
    <t>CM</t>
  </si>
  <si>
    <t>Fc</t>
  </si>
  <si>
    <t>tratamiento</t>
  </si>
  <si>
    <t>k-1=3-1=2</t>
  </si>
  <si>
    <t>error</t>
  </si>
  <si>
    <t>n-k=15-3=12</t>
  </si>
  <si>
    <t>KRUSCALWALLIS</t>
  </si>
  <si>
    <t>TOTALES(Ri)</t>
  </si>
  <si>
    <r>
      <rPr>
        <rFont val="Calibri"/>
        <color theme="1"/>
        <sz val="11.0"/>
      </rPr>
      <t>totales^2(Ri</t>
    </r>
    <r>
      <rPr>
        <rFont val="Calibri"/>
        <color theme="1"/>
        <sz val="11.0"/>
        <vertAlign val="superscript"/>
      </rPr>
      <t>2</t>
    </r>
    <r>
      <rPr>
        <rFont val="Calibri"/>
        <color theme="1"/>
        <sz val="11.0"/>
      </rPr>
      <t>)</t>
    </r>
  </si>
  <si>
    <r>
      <rPr>
        <rFont val="Calibri"/>
        <color theme="1"/>
        <sz val="11.0"/>
      </rPr>
      <t>(Ri</t>
    </r>
    <r>
      <rPr>
        <rFont val="Calibri"/>
        <color theme="1"/>
        <sz val="11.0"/>
        <vertAlign val="superscript"/>
      </rPr>
      <t>2</t>
    </r>
    <r>
      <rPr>
        <rFont val="Calibri"/>
        <color theme="1"/>
        <sz val="11.0"/>
      </rPr>
      <t>/ni)</t>
    </r>
  </si>
  <si>
    <t>RANGO</t>
  </si>
  <si>
    <t>RANGO*</t>
  </si>
  <si>
    <t>Interpretar valores de una regresion para examen</t>
  </si>
  <si>
    <t>Ejercicio del manual de practicas…</t>
  </si>
  <si>
    <t>Unidad</t>
  </si>
  <si>
    <t>vida (días)</t>
  </si>
  <si>
    <t>humedad (%)</t>
  </si>
  <si>
    <t>intercepto</t>
  </si>
  <si>
    <t>pendiente</t>
  </si>
  <si>
    <t>vida_techo= 10,814-0,124*humedad</t>
  </si>
  <si>
    <t>pendiente=</t>
  </si>
  <si>
    <t>Cov(x,y)</t>
  </si>
  <si>
    <t>Var(x)</t>
  </si>
  <si>
    <t>intercepto=</t>
  </si>
  <si>
    <t>ypromedio-pendiente*x promedio</t>
  </si>
  <si>
    <t>sexo(1=h, 0= mujer</t>
  </si>
  <si>
    <t>indice de felicidad</t>
  </si>
  <si>
    <t>U=</t>
  </si>
  <si>
    <t>U`=</t>
  </si>
  <si>
    <t>U*= Umax=</t>
  </si>
  <si>
    <t>U tabular=</t>
  </si>
  <si>
    <t>NO SE RECHAZA</t>
  </si>
  <si>
    <t>ho:beta1=0</t>
  </si>
  <si>
    <t>h1: beta1&lt;&gt;0</t>
  </si>
  <si>
    <t>predichos</t>
  </si>
  <si>
    <t>resduo</t>
  </si>
  <si>
    <t>residuo^2</t>
  </si>
  <si>
    <t>felicidad_teho=</t>
  </si>
  <si>
    <t>4,52+0,94*sexo</t>
  </si>
  <si>
    <t>SCE</t>
  </si>
  <si>
    <t>error de estimacion=</t>
  </si>
  <si>
    <t>error.estandar.est</t>
  </si>
  <si>
    <t>tcalculdo</t>
  </si>
  <si>
    <t>pvalue</t>
  </si>
  <si>
    <t>me qued[o mal calculado</t>
  </si>
  <si>
    <t>predicho</t>
  </si>
  <si>
    <t>residuo</t>
  </si>
  <si>
    <t>pregunta 38</t>
  </si>
  <si>
    <t>A)</t>
  </si>
  <si>
    <t>beta 0</t>
  </si>
  <si>
    <t>C)</t>
  </si>
  <si>
    <t>beta1</t>
  </si>
  <si>
    <t>coeficiente de  determinacion</t>
  </si>
  <si>
    <t>el modelo explica el 78% de la variabilidad de la vida util</t>
  </si>
  <si>
    <t>e)</t>
  </si>
  <si>
    <t>h0: beta1=0</t>
  </si>
  <si>
    <t>h1: beta&lt;&gt; 0</t>
  </si>
  <si>
    <t>t tabular=</t>
  </si>
  <si>
    <t>B)</t>
  </si>
  <si>
    <t>ERROE ESTANDAR DE LA ESTIMACION RAIZ(SCE/(n-2))=</t>
  </si>
  <si>
    <t>error estandar de beta1=</t>
  </si>
  <si>
    <t>tcalculado= (b1techo- beta1)/err.est beta1</t>
  </si>
  <si>
    <t>Zona de no rechazo</t>
  </si>
  <si>
    <t>Z rech</t>
  </si>
  <si>
    <t>p value=</t>
  </si>
</sst>
</file>

<file path=xl/styles.xml><?xml version="1.0" encoding="utf-8"?>
<styleSheet xmlns="http://schemas.openxmlformats.org/spreadsheetml/2006/main" xmlns:x14ac="http://schemas.microsoft.com/office/spreadsheetml/2009/9/ac" xmlns:mc="http://schemas.openxmlformats.org/markup-compatibility/2006">
  <numFmts count="7">
    <numFmt numFmtId="164" formatCode="0.0000"/>
    <numFmt numFmtId="165" formatCode="0.000"/>
    <numFmt numFmtId="166" formatCode="0.0000000000000"/>
    <numFmt numFmtId="167" formatCode="0.000000000000"/>
    <numFmt numFmtId="168" formatCode="0.0000000000"/>
    <numFmt numFmtId="169" formatCode="0.0"/>
    <numFmt numFmtId="170" formatCode="0.000000"/>
  </numFmts>
  <fonts count="26">
    <font>
      <sz val="11.0"/>
      <color theme="1"/>
      <name val="Calibri"/>
      <scheme val="minor"/>
    </font>
    <font>
      <color theme="1"/>
      <name val="Calibri"/>
      <scheme val="minor"/>
    </font>
    <font>
      <sz val="11.0"/>
      <color theme="1"/>
      <name val="Calibri"/>
    </font>
    <font/>
    <font>
      <b/>
      <i/>
      <sz val="22.0"/>
      <color theme="1"/>
      <name val="Calibri"/>
    </font>
    <font>
      <sz val="11.0"/>
      <color theme="1"/>
      <name val="Times New Roman"/>
    </font>
    <font>
      <b/>
      <sz val="11.0"/>
      <color theme="1"/>
      <name val="Calibri"/>
    </font>
    <font>
      <b/>
      <sz val="14.0"/>
      <color theme="1"/>
      <name val="Calibri"/>
    </font>
    <font>
      <b/>
      <sz val="12.0"/>
      <color theme="1"/>
      <name val="Calibri"/>
    </font>
    <font>
      <b/>
      <sz val="20.0"/>
      <color theme="1"/>
      <name val="Calibri"/>
    </font>
    <font>
      <b/>
      <sz val="18.0"/>
      <color theme="1"/>
      <name val="Calibri"/>
    </font>
    <font>
      <b/>
      <sz val="11.0"/>
      <color theme="9"/>
      <name val="Calibri"/>
    </font>
    <font>
      <b/>
      <sz val="11.0"/>
      <color rgb="FF548135"/>
      <name val="Calibri"/>
    </font>
    <font>
      <b/>
      <sz val="11.0"/>
      <color rgb="FFFF0000"/>
      <name val="Calibri"/>
    </font>
    <font>
      <b/>
      <sz val="11.0"/>
      <color rgb="FF00B0F0"/>
      <name val="Calibri"/>
    </font>
    <font>
      <sz val="11.0"/>
      <color rgb="FF0C0C0C"/>
      <name val="Calibri"/>
    </font>
    <font>
      <b/>
      <sz val="11.0"/>
      <color rgb="FF7030A0"/>
      <name val="Calibri"/>
    </font>
    <font>
      <b/>
      <sz val="36.0"/>
      <color theme="1"/>
      <name val="Calibri"/>
    </font>
    <font>
      <i/>
      <sz val="11.0"/>
      <color theme="1"/>
      <name val="Calibri"/>
    </font>
    <font>
      <b/>
      <i/>
      <sz val="16.0"/>
      <color theme="1"/>
      <name val="Calibri"/>
    </font>
    <font>
      <b/>
      <sz val="16.0"/>
      <color theme="1"/>
      <name val="Calibri"/>
    </font>
    <font>
      <u/>
      <sz val="11.0"/>
      <color theme="1"/>
      <name val="Calibri"/>
    </font>
    <font>
      <sz val="11.0"/>
      <color rgb="FFFF0000"/>
      <name val="Calibri"/>
    </font>
    <font>
      <b/>
      <i/>
      <sz val="18.0"/>
      <color theme="1"/>
      <name val="Calibri"/>
    </font>
    <font>
      <b/>
      <sz val="22.0"/>
      <color theme="1"/>
      <name val="Calibri"/>
    </font>
    <font>
      <sz val="10.0"/>
      <color theme="1"/>
      <name val="Arial"/>
    </font>
  </fonts>
  <fills count="14">
    <fill>
      <patternFill patternType="none"/>
    </fill>
    <fill>
      <patternFill patternType="lightGray"/>
    </fill>
    <fill>
      <patternFill patternType="solid">
        <fgColor rgb="FFFFFF00"/>
        <bgColor rgb="FFFFFF00"/>
      </patternFill>
    </fill>
    <fill>
      <patternFill patternType="solid">
        <fgColor rgb="FFF4B083"/>
        <bgColor rgb="FFF4B083"/>
      </patternFill>
    </fill>
    <fill>
      <patternFill patternType="solid">
        <fgColor rgb="FF9CC2E5"/>
        <bgColor rgb="FF9CC2E5"/>
      </patternFill>
    </fill>
    <fill>
      <patternFill patternType="solid">
        <fgColor rgb="FFA8D08D"/>
        <bgColor rgb="FFA8D08D"/>
      </patternFill>
    </fill>
    <fill>
      <patternFill patternType="solid">
        <fgColor rgb="FF2F5496"/>
        <bgColor rgb="FF2F5496"/>
      </patternFill>
    </fill>
    <fill>
      <patternFill patternType="solid">
        <fgColor rgb="FFF7CAAC"/>
        <bgColor rgb="FFF7CAAC"/>
      </patternFill>
    </fill>
    <fill>
      <patternFill patternType="solid">
        <fgColor rgb="FFFBE4D5"/>
        <bgColor rgb="FFFBE4D5"/>
      </patternFill>
    </fill>
    <fill>
      <patternFill patternType="solid">
        <fgColor theme="1"/>
        <bgColor theme="1"/>
      </patternFill>
    </fill>
    <fill>
      <patternFill patternType="solid">
        <fgColor rgb="FFADB9CA"/>
        <bgColor rgb="FFADB9CA"/>
      </patternFill>
    </fill>
    <fill>
      <patternFill patternType="solid">
        <fgColor rgb="FFC5E0B3"/>
        <bgColor rgb="FFC5E0B3"/>
      </patternFill>
    </fill>
    <fill>
      <patternFill patternType="solid">
        <fgColor rgb="FFB4C6E7"/>
        <bgColor rgb="FFB4C6E7"/>
      </patternFill>
    </fill>
    <fill>
      <patternFill patternType="solid">
        <fgColor rgb="FFFFE598"/>
        <bgColor rgb="FFFFE598"/>
      </patternFill>
    </fill>
  </fills>
  <borders count="35">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00000"/>
      </left>
      <right style="thin">
        <color rgb="FF000000"/>
      </right>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right/>
      <top/>
      <bottom/>
    </border>
    <border>
      <left/>
      <right/>
      <top/>
      <bottom style="thin">
        <color rgb="FF000000"/>
      </bottom>
    </border>
    <border>
      <left style="medium">
        <color rgb="FF000000"/>
      </left>
      <top style="medium">
        <color rgb="FF000000"/>
      </top>
    </border>
    <border>
      <right style="thin">
        <color rgb="FF000000"/>
      </right>
      <top style="medium">
        <color rgb="FF000000"/>
      </top>
    </border>
    <border>
      <right style="medium">
        <color rgb="FF000000"/>
      </right>
      <top style="medium">
        <color rgb="FF000000"/>
      </top>
    </border>
    <border>
      <left style="medium">
        <color rgb="FF000000"/>
      </left>
      <bottom style="thin">
        <color rgb="FF000000"/>
      </bottom>
    </border>
    <border>
      <right style="medium">
        <color rgb="FF000000"/>
      </right>
    </border>
    <border>
      <left style="medium">
        <color rgb="FF000000"/>
      </left>
      <bottom style="medium">
        <color rgb="FF000000"/>
      </bottom>
    </border>
    <border>
      <bottom style="medium">
        <color rgb="FF000000"/>
      </bottom>
    </border>
    <border>
      <right style="medium">
        <color rgb="FF000000"/>
      </right>
      <bottom style="medium">
        <color rgb="FF000000"/>
      </bottom>
    </border>
    <border>
      <left style="medium">
        <color rgb="FF000000"/>
      </left>
      <right/>
      <top style="medium">
        <color rgb="FF000000"/>
      </top>
      <bottom/>
    </border>
    <border>
      <left/>
      <right style="thin">
        <color rgb="FF000000"/>
      </right>
      <top style="medium">
        <color rgb="FF000000"/>
      </top>
      <bottom/>
    </border>
    <border>
      <left/>
      <right style="medium">
        <color rgb="FF000000"/>
      </right>
      <top style="medium">
        <color rgb="FF000000"/>
      </top>
      <bottom/>
    </border>
    <border>
      <left style="medium">
        <color rgb="FF000000"/>
      </left>
      <right/>
      <top/>
      <bottom style="thin">
        <color rgb="FF000000"/>
      </bottom>
    </border>
    <border>
      <left/>
      <right style="thin">
        <color rgb="FF000000"/>
      </right>
      <top/>
      <bottom style="thin">
        <color rgb="FF000000"/>
      </bottom>
    </border>
    <border>
      <left/>
      <right style="medium">
        <color rgb="FF000000"/>
      </right>
      <top/>
      <bottom/>
    </border>
    <border>
      <left style="medium">
        <color rgb="FF000000"/>
      </left>
      <right/>
      <top/>
      <bottom style="medium">
        <color rgb="FF000000"/>
      </bottom>
    </border>
    <border>
      <left/>
      <right/>
      <top/>
      <bottom style="medium">
        <color rgb="FF000000"/>
      </bottom>
    </border>
    <border>
      <left/>
      <right style="medium">
        <color rgb="FF000000"/>
      </right>
      <top/>
      <bottom style="medium">
        <color rgb="FF000000"/>
      </bottom>
    </border>
    <border>
      <top style="medium">
        <color rgb="FF000000"/>
      </top>
      <bottom style="thin">
        <color rgb="FF000000"/>
      </bottom>
    </border>
    <border>
      <left style="thin">
        <color rgb="FF000000"/>
      </left>
      <right style="thin">
        <color rgb="FF000000"/>
      </right>
      <top style="thin">
        <color rgb="FF000000"/>
      </top>
      <bottom/>
    </border>
    <border>
      <left style="thin">
        <color rgb="FF000000"/>
      </left>
      <right style="thin">
        <color rgb="FF000000"/>
      </right>
      <top/>
      <bottom style="thin">
        <color rgb="FF000000"/>
      </bottom>
    </border>
  </borders>
  <cellStyleXfs count="1">
    <xf borderId="0" fillId="0" fontId="0" numFmtId="0" applyAlignment="1" applyFont="1"/>
  </cellStyleXfs>
  <cellXfs count="118">
    <xf borderId="0" fillId="0" fontId="0" numFmtId="0" xfId="0" applyAlignment="1" applyFont="1">
      <alignment readingOrder="0" shrinkToFit="0" vertical="bottom" wrapText="0"/>
    </xf>
    <xf borderId="0" fillId="0" fontId="1" numFmtId="0" xfId="0" applyFont="1"/>
    <xf borderId="0" fillId="0" fontId="2" numFmtId="164" xfId="0" applyFont="1" applyNumberFormat="1"/>
    <xf borderId="1" fillId="0" fontId="2" numFmtId="0" xfId="0" applyAlignment="1" applyBorder="1" applyFont="1">
      <alignment horizontal="center" shrinkToFit="0" wrapText="1"/>
    </xf>
    <xf borderId="2" fillId="0" fontId="2" numFmtId="0" xfId="0" applyAlignment="1" applyBorder="1" applyFont="1">
      <alignment horizontal="center"/>
    </xf>
    <xf borderId="3" fillId="0" fontId="2" numFmtId="0" xfId="0" applyAlignment="1" applyBorder="1" applyFont="1">
      <alignment horizontal="center"/>
    </xf>
    <xf borderId="4" fillId="0" fontId="3" numFmtId="0" xfId="0" applyBorder="1" applyFont="1"/>
    <xf borderId="5" fillId="0" fontId="3" numFmtId="0" xfId="0" applyBorder="1" applyFont="1"/>
    <xf borderId="6" fillId="0" fontId="3" numFmtId="0" xfId="0" applyBorder="1" applyFont="1"/>
    <xf borderId="7" fillId="0" fontId="2" numFmtId="0" xfId="0" applyAlignment="1" applyBorder="1" applyFont="1">
      <alignment horizontal="center"/>
    </xf>
    <xf borderId="7" fillId="0" fontId="2" numFmtId="164" xfId="0" applyAlignment="1" applyBorder="1" applyFont="1" applyNumberFormat="1">
      <alignment horizontal="center"/>
    </xf>
    <xf borderId="8" fillId="0" fontId="2" numFmtId="0" xfId="0" applyAlignment="1" applyBorder="1" applyFont="1">
      <alignment horizontal="center"/>
    </xf>
    <xf borderId="9" fillId="0" fontId="2" numFmtId="164" xfId="0" applyAlignment="1" applyBorder="1" applyFont="1" applyNumberFormat="1">
      <alignment horizontal="center"/>
    </xf>
    <xf borderId="0" fillId="0" fontId="2" numFmtId="165" xfId="0" applyAlignment="1" applyFont="1" applyNumberFormat="1">
      <alignment horizontal="center"/>
    </xf>
    <xf borderId="0" fillId="0" fontId="2" numFmtId="164" xfId="0" applyAlignment="1" applyFont="1" applyNumberFormat="1">
      <alignment horizontal="center"/>
    </xf>
    <xf borderId="0" fillId="0" fontId="2" numFmtId="0" xfId="0" applyAlignment="1" applyFont="1">
      <alignment horizontal="center" shrinkToFit="0" wrapText="1"/>
    </xf>
    <xf borderId="0" fillId="0" fontId="4" numFmtId="0" xfId="0" applyFont="1"/>
    <xf borderId="8" fillId="0" fontId="2" numFmtId="0" xfId="0" applyBorder="1" applyFont="1"/>
    <xf borderId="10" fillId="0" fontId="2" numFmtId="0" xfId="0" applyAlignment="1" applyBorder="1" applyFont="1">
      <alignment horizontal="center"/>
    </xf>
    <xf borderId="11" fillId="0" fontId="3" numFmtId="0" xfId="0" applyBorder="1" applyFont="1"/>
    <xf borderId="12" fillId="0" fontId="3" numFmtId="0" xfId="0" applyBorder="1" applyFont="1"/>
    <xf borderId="13" fillId="2" fontId="2" numFmtId="0" xfId="0" applyAlignment="1" applyBorder="1" applyFill="1" applyFont="1">
      <alignment horizontal="center"/>
    </xf>
    <xf borderId="0" fillId="0" fontId="2" numFmtId="0" xfId="0" applyAlignment="1" applyFont="1">
      <alignment horizontal="center"/>
    </xf>
    <xf borderId="0" fillId="0" fontId="2" numFmtId="2" xfId="0" applyAlignment="1" applyFont="1" applyNumberFormat="1">
      <alignment horizontal="center"/>
    </xf>
    <xf borderId="13" fillId="3" fontId="2" numFmtId="0" xfId="0" applyAlignment="1" applyBorder="1" applyFill="1" applyFont="1">
      <alignment horizontal="center"/>
    </xf>
    <xf borderId="13" fillId="4" fontId="2" numFmtId="0" xfId="0" applyAlignment="1" applyBorder="1" applyFill="1" applyFont="1">
      <alignment horizontal="center"/>
    </xf>
    <xf borderId="13" fillId="5" fontId="2" numFmtId="0" xfId="0" applyAlignment="1" applyBorder="1" applyFill="1" applyFont="1">
      <alignment horizontal="center"/>
    </xf>
    <xf borderId="14" fillId="2" fontId="2" numFmtId="0" xfId="0" applyAlignment="1" applyBorder="1" applyFont="1">
      <alignment horizontal="center"/>
    </xf>
    <xf borderId="5" fillId="0" fontId="2" numFmtId="0" xfId="0" applyAlignment="1" applyBorder="1" applyFont="1">
      <alignment horizontal="center"/>
    </xf>
    <xf borderId="5" fillId="0" fontId="2" numFmtId="2" xfId="0" applyAlignment="1" applyBorder="1" applyFont="1" applyNumberFormat="1">
      <alignment horizontal="center"/>
    </xf>
    <xf borderId="0" fillId="0" fontId="2" numFmtId="0" xfId="0" applyAlignment="1" applyFont="1">
      <alignment horizontal="center" shrinkToFit="0" vertical="center" wrapText="1"/>
    </xf>
    <xf borderId="5" fillId="0" fontId="2" numFmtId="165" xfId="0" applyAlignment="1" applyBorder="1" applyFont="1" applyNumberFormat="1">
      <alignment horizontal="center"/>
    </xf>
    <xf borderId="0" fillId="0" fontId="2" numFmtId="1" xfId="0" applyAlignment="1" applyFont="1" applyNumberFormat="1">
      <alignment horizontal="center"/>
    </xf>
    <xf borderId="0" fillId="0" fontId="2" numFmtId="165" xfId="0" applyFont="1" applyNumberFormat="1"/>
    <xf borderId="0" fillId="0" fontId="5" numFmtId="0" xfId="0" applyAlignment="1" applyFont="1">
      <alignment horizontal="center" shrinkToFit="0" vertical="center" wrapText="1"/>
    </xf>
    <xf borderId="0" fillId="0" fontId="6" numFmtId="0" xfId="0" applyFont="1"/>
    <xf borderId="0" fillId="0" fontId="2" numFmtId="164" xfId="0" applyAlignment="1" applyFont="1" applyNumberFormat="1">
      <alignment horizontal="left"/>
    </xf>
    <xf borderId="5" fillId="0" fontId="2" numFmtId="0" xfId="0" applyBorder="1" applyFont="1"/>
    <xf borderId="11" fillId="0" fontId="2" numFmtId="0" xfId="0" applyAlignment="1" applyBorder="1" applyFont="1">
      <alignment horizontal="center"/>
    </xf>
    <xf borderId="13" fillId="6" fontId="2" numFmtId="0" xfId="0" applyBorder="1" applyFill="1" applyFont="1"/>
    <xf borderId="0" fillId="0" fontId="2" numFmtId="166" xfId="0" applyFont="1" applyNumberFormat="1"/>
    <xf borderId="0" fillId="0" fontId="7" numFmtId="0" xfId="0" applyFont="1"/>
    <xf borderId="5" fillId="0" fontId="6" numFmtId="0" xfId="0" applyBorder="1" applyFont="1"/>
    <xf borderId="0" fillId="0" fontId="2" numFmtId="0" xfId="0" applyAlignment="1" applyFont="1">
      <alignment horizontal="right"/>
    </xf>
    <xf borderId="0" fillId="0" fontId="2" numFmtId="167" xfId="0" applyFont="1" applyNumberFormat="1"/>
    <xf borderId="0" fillId="0" fontId="5" numFmtId="0" xfId="0" applyAlignment="1" applyFont="1">
      <alignment shrinkToFit="0" vertical="center" wrapText="1"/>
    </xf>
    <xf borderId="11" fillId="0" fontId="2" numFmtId="0" xfId="0" applyBorder="1" applyFont="1"/>
    <xf borderId="0" fillId="0" fontId="2" numFmtId="0" xfId="0" applyFont="1"/>
    <xf borderId="0" fillId="0" fontId="8" numFmtId="0" xfId="0" applyFont="1"/>
    <xf borderId="0" fillId="0" fontId="2" numFmtId="168" xfId="0" applyFont="1" applyNumberFormat="1"/>
    <xf borderId="0" fillId="0" fontId="9" numFmtId="0" xfId="0" applyFont="1"/>
    <xf borderId="0" fillId="0" fontId="10" numFmtId="0" xfId="0" applyFont="1"/>
    <xf borderId="15" fillId="0" fontId="2" numFmtId="0" xfId="0" applyBorder="1" applyFont="1"/>
    <xf borderId="16" fillId="0" fontId="2" numFmtId="0" xfId="0" applyBorder="1" applyFont="1"/>
    <xf borderId="17" fillId="0" fontId="6" numFmtId="0" xfId="0" applyBorder="1" applyFont="1"/>
    <xf borderId="18" fillId="0" fontId="2" numFmtId="0" xfId="0" applyBorder="1" applyFont="1"/>
    <xf borderId="6" fillId="0" fontId="2" numFmtId="0" xfId="0" applyBorder="1" applyFont="1"/>
    <xf borderId="19" fillId="0" fontId="6" numFmtId="0" xfId="0" applyBorder="1" applyFont="1"/>
    <xf borderId="20" fillId="0" fontId="6" numFmtId="0" xfId="0" applyBorder="1" applyFont="1"/>
    <xf borderId="21" fillId="0" fontId="6" numFmtId="0" xfId="0" applyBorder="1" applyFont="1"/>
    <xf borderId="22" fillId="0" fontId="2" numFmtId="0" xfId="0" applyBorder="1" applyFont="1"/>
    <xf borderId="23" fillId="3" fontId="2" numFmtId="0" xfId="0" applyBorder="1" applyFont="1"/>
    <xf borderId="24" fillId="3" fontId="2" numFmtId="0" xfId="0" applyBorder="1" applyFont="1"/>
    <xf borderId="25" fillId="7" fontId="6" numFmtId="0" xfId="0" applyBorder="1" applyFill="1" applyFont="1"/>
    <xf borderId="13" fillId="2" fontId="2" numFmtId="164" xfId="0" applyBorder="1" applyFont="1" applyNumberFormat="1"/>
    <xf borderId="26" fillId="3" fontId="2" numFmtId="0" xfId="0" applyBorder="1" applyFont="1"/>
    <xf borderId="27" fillId="3" fontId="2" numFmtId="0" xfId="0" applyBorder="1" applyFont="1"/>
    <xf borderId="28" fillId="7" fontId="6" numFmtId="0" xfId="0" applyBorder="1" applyFont="1"/>
    <xf borderId="29" fillId="7" fontId="6" numFmtId="0" xfId="0" applyBorder="1" applyFont="1"/>
    <xf borderId="30" fillId="7" fontId="6" numFmtId="0" xfId="0" applyBorder="1" applyFont="1"/>
    <xf borderId="31" fillId="7" fontId="2" numFmtId="0" xfId="0" applyBorder="1" applyFont="1"/>
    <xf borderId="21" fillId="0" fontId="2" numFmtId="0" xfId="0" applyAlignment="1" applyBorder="1" applyFont="1">
      <alignment horizontal="center"/>
    </xf>
    <xf borderId="21" fillId="0" fontId="2" numFmtId="165" xfId="0" applyAlignment="1" applyBorder="1" applyFont="1" applyNumberFormat="1">
      <alignment horizontal="center"/>
    </xf>
    <xf borderId="0" fillId="0" fontId="6" numFmtId="0" xfId="0" applyAlignment="1" applyFont="1">
      <alignment horizontal="center"/>
    </xf>
    <xf borderId="0" fillId="0" fontId="6" numFmtId="165" xfId="0" applyAlignment="1" applyFont="1" applyNumberFormat="1">
      <alignment horizontal="center"/>
    </xf>
    <xf borderId="13" fillId="7" fontId="2" numFmtId="0" xfId="0" applyBorder="1" applyFont="1"/>
    <xf borderId="0" fillId="0" fontId="2" numFmtId="169" xfId="0" applyAlignment="1" applyFont="1" applyNumberFormat="1">
      <alignment horizontal="center"/>
    </xf>
    <xf borderId="0" fillId="0" fontId="2" numFmtId="2" xfId="0" applyFont="1" applyNumberFormat="1"/>
    <xf borderId="5" fillId="0" fontId="2" numFmtId="169" xfId="0" applyAlignment="1" applyBorder="1" applyFont="1" applyNumberFormat="1">
      <alignment horizontal="center"/>
    </xf>
    <xf borderId="5" fillId="0" fontId="2" numFmtId="2" xfId="0" applyBorder="1" applyFont="1" applyNumberFormat="1"/>
    <xf borderId="0" fillId="0" fontId="2" numFmtId="169" xfId="0" applyFont="1" applyNumberFormat="1"/>
    <xf borderId="0" fillId="0" fontId="11" numFmtId="0" xfId="0" applyFont="1"/>
    <xf borderId="0" fillId="0" fontId="12" numFmtId="0" xfId="0" applyFont="1"/>
    <xf borderId="0" fillId="0" fontId="13" numFmtId="0" xfId="0" applyFont="1"/>
    <xf borderId="0" fillId="0" fontId="14" numFmtId="0" xfId="0" applyFont="1"/>
    <xf borderId="0" fillId="0" fontId="15" numFmtId="0" xfId="0" applyFont="1"/>
    <xf borderId="0" fillId="0" fontId="16" numFmtId="0" xfId="0" applyFont="1"/>
    <xf borderId="5" fillId="0" fontId="2" numFmtId="165" xfId="0" applyBorder="1" applyFont="1" applyNumberFormat="1"/>
    <xf borderId="0" fillId="0" fontId="17" numFmtId="0" xfId="0" applyFont="1"/>
    <xf borderId="0" fillId="0" fontId="2" numFmtId="0" xfId="0" applyAlignment="1" applyFont="1">
      <alignment shrinkToFit="0" wrapText="1"/>
    </xf>
    <xf borderId="0" fillId="0" fontId="2" numFmtId="0" xfId="0" applyAlignment="1" applyFont="1">
      <alignment horizontal="left"/>
    </xf>
    <xf borderId="13" fillId="8" fontId="2" numFmtId="0" xfId="0" applyAlignment="1" applyBorder="1" applyFill="1" applyFont="1">
      <alignment horizontal="center"/>
    </xf>
    <xf borderId="13" fillId="8" fontId="6" numFmtId="0" xfId="0" applyAlignment="1" applyBorder="1" applyFont="1">
      <alignment horizontal="center"/>
    </xf>
    <xf borderId="13" fillId="9" fontId="2" numFmtId="0" xfId="0" applyAlignment="1" applyBorder="1" applyFill="1" applyFont="1">
      <alignment horizontal="center"/>
    </xf>
    <xf borderId="13" fillId="2" fontId="2" numFmtId="0" xfId="0" applyBorder="1" applyFont="1"/>
    <xf borderId="0" fillId="0" fontId="2" numFmtId="165" xfId="0" applyAlignment="1" applyFont="1" applyNumberFormat="1">
      <alignment horizontal="left"/>
    </xf>
    <xf borderId="32" fillId="0" fontId="18" numFmtId="0" xfId="0" applyAlignment="1" applyBorder="1" applyFont="1">
      <alignment horizontal="center"/>
    </xf>
    <xf borderId="21" fillId="0" fontId="2" numFmtId="0" xfId="0" applyBorder="1" applyFont="1"/>
    <xf borderId="0" fillId="0" fontId="19" numFmtId="0" xfId="0" applyFont="1"/>
    <xf borderId="0" fillId="0" fontId="20" numFmtId="0" xfId="0" applyFont="1"/>
    <xf borderId="0" fillId="0" fontId="21" numFmtId="0" xfId="0" applyFont="1"/>
    <xf borderId="13" fillId="10" fontId="2" numFmtId="0" xfId="0" applyBorder="1" applyFill="1" applyFont="1"/>
    <xf borderId="13" fillId="5" fontId="2" numFmtId="0" xfId="0" applyBorder="1" applyFont="1"/>
    <xf borderId="13" fillId="10" fontId="22" numFmtId="0" xfId="0" applyBorder="1" applyFont="1"/>
    <xf borderId="13" fillId="5" fontId="22" numFmtId="0" xfId="0" applyBorder="1" applyFont="1"/>
    <xf borderId="0" fillId="0" fontId="2" numFmtId="0" xfId="0" applyAlignment="1" applyFont="1">
      <alignment horizontal="center" vertical="center"/>
    </xf>
    <xf borderId="0" fillId="0" fontId="23" numFmtId="0" xfId="0" applyFont="1"/>
    <xf borderId="13" fillId="11" fontId="2" numFmtId="0" xfId="0" applyAlignment="1" applyBorder="1" applyFill="1" applyFont="1">
      <alignment horizontal="center"/>
    </xf>
    <xf borderId="13" fillId="12" fontId="2" numFmtId="0" xfId="0" applyAlignment="1" applyBorder="1" applyFill="1" applyFont="1">
      <alignment horizontal="center"/>
    </xf>
    <xf borderId="13" fillId="7" fontId="2" numFmtId="0" xfId="0" applyAlignment="1" applyBorder="1" applyFont="1">
      <alignment horizontal="center"/>
    </xf>
    <xf borderId="13" fillId="12" fontId="2" numFmtId="0" xfId="0" applyBorder="1" applyFont="1"/>
    <xf borderId="0" fillId="0" fontId="24" numFmtId="0" xfId="0" applyFont="1"/>
    <xf borderId="0" fillId="0" fontId="25" numFmtId="0" xfId="0" applyAlignment="1" applyFont="1">
      <alignment horizontal="right" vertical="center"/>
    </xf>
    <xf borderId="13" fillId="13" fontId="2" numFmtId="0" xfId="0" applyBorder="1" applyFill="1" applyFont="1"/>
    <xf borderId="33" fillId="2" fontId="2" numFmtId="0" xfId="0" applyAlignment="1" applyBorder="1" applyFont="1">
      <alignment horizontal="center"/>
    </xf>
    <xf borderId="34" fillId="2" fontId="2" numFmtId="0" xfId="0" applyAlignment="1" applyBorder="1" applyFont="1">
      <alignment horizontal="center"/>
    </xf>
    <xf borderId="13" fillId="3" fontId="2" numFmtId="0" xfId="0" applyBorder="1" applyFont="1"/>
    <xf borderId="0" fillId="0" fontId="2" numFmtId="170" xfId="0" applyFont="1" applyNumberFormat="1"/>
  </cellXfs>
  <cellStyles count="1">
    <cellStyle xfId="0" name="Normal" builtinId="0"/>
  </cellStyles>
  <dxfs count="0"/>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11" Type="http://schemas.openxmlformats.org/officeDocument/2006/relationships/worksheet" Target="worksheets/sheet8.xml"/><Relationship Id="rId22" Type="http://schemas.openxmlformats.org/officeDocument/2006/relationships/worksheet" Target="worksheets/sheet19.xml"/><Relationship Id="rId10" Type="http://schemas.openxmlformats.org/officeDocument/2006/relationships/worksheet" Target="worksheets/sheet7.xml"/><Relationship Id="rId21" Type="http://schemas.openxmlformats.org/officeDocument/2006/relationships/worksheet" Target="worksheets/sheet18.xml"/><Relationship Id="rId13" Type="http://schemas.openxmlformats.org/officeDocument/2006/relationships/worksheet" Target="worksheets/sheet10.xml"/><Relationship Id="rId24" Type="http://customschemas.google.com/relationships/workbookmetadata" Target="metadata"/><Relationship Id="rId12" Type="http://schemas.openxmlformats.org/officeDocument/2006/relationships/worksheet" Target="worksheets/sheet9.xml"/><Relationship Id="rId23" Type="http://schemas.openxmlformats.org/officeDocument/2006/relationships/pivotCacheDefinition" Target="pivotCache/pivotCacheDefinition1.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19" Type="http://schemas.openxmlformats.org/officeDocument/2006/relationships/worksheet" Target="worksheets/sheet16.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scatterChart>
        <c:scatterStyle val="lineMarker"/>
        <c:varyColors val="0"/>
        <c:ser>
          <c:idx val="0"/>
          <c:order val="0"/>
          <c:tx>
            <c:v>puesto que ocupa</c:v>
          </c:tx>
          <c:spPr>
            <a:ln>
              <a:noFill/>
            </a:ln>
          </c:spPr>
          <c:marker>
            <c:symbol val="circle"/>
            <c:size val="7"/>
            <c:spPr>
              <a:solidFill>
                <a:schemeClr val="accent1"/>
              </a:solidFill>
              <a:ln cmpd="sng">
                <a:solidFill>
                  <a:schemeClr val="accent1"/>
                </a:solidFill>
              </a:ln>
            </c:spPr>
          </c:marker>
          <c:trendline>
            <c:name>Linear (puesto que ocupa)</c:name>
            <c:spPr>
              <a:ln w="19050">
                <a:solidFill>
                  <a:srgbClr val="000000">
                    <a:alpha val="0"/>
                  </a:srgbClr>
                </a:solidFill>
              </a:ln>
            </c:spPr>
            <c:trendlineType val="linear"/>
            <c:dispRSqr val="0"/>
            <c:dispEq val="0"/>
          </c:trendline>
          <c:xVal>
            <c:numRef>
              <c:f>'30-5'!$J$82:$J$92</c:f>
            </c:numRef>
          </c:xVal>
          <c:yVal>
            <c:numRef>
              <c:f>'30-5'!$K$82:$K$92</c:f>
              <c:numCache/>
            </c:numRef>
          </c:yVal>
        </c:ser>
        <c:dLbls>
          <c:showLegendKey val="0"/>
          <c:showVal val="0"/>
          <c:showCatName val="0"/>
          <c:showSerName val="0"/>
          <c:showPercent val="0"/>
          <c:showBubbleSize val="0"/>
        </c:dLbls>
        <c:axId val="106961500"/>
        <c:axId val="834916988"/>
      </c:scatterChart>
      <c:valAx>
        <c:axId val="106961500"/>
        <c:scaling>
          <c:orientation val="minMax"/>
        </c:scaling>
        <c:delete val="0"/>
        <c:axPos val="b"/>
        <c:majorGridlines>
          <c:spPr>
            <a:ln>
              <a:solidFill>
                <a:srgbClr val="B7B7B7"/>
              </a:solidFill>
            </a:ln>
          </c:spPr>
        </c:majorGridlines>
        <c:title>
          <c:tx>
            <c:rich>
              <a:bodyPr/>
              <a:lstStyle/>
              <a:p>
                <a:pPr lvl="0">
                  <a:defRPr b="0">
                    <a:solidFill>
                      <a:srgbClr val="000000"/>
                    </a:solidFill>
                    <a:latin typeface="+mn-lt"/>
                  </a:defRPr>
                </a:pPr>
                <a:r>
                  <a:rPr b="0">
                    <a:solidFill>
                      <a:srgbClr val="000000"/>
                    </a:solidFill>
                    <a:latin typeface="+mn-lt"/>
                  </a:rPr>
                  <a:t/>
                </a:r>
              </a:p>
            </c:rich>
          </c:tx>
          <c:overlay val="0"/>
        </c:title>
        <c:numFmt formatCode="General" sourceLinked="1"/>
        <c:majorTickMark val="none"/>
        <c:minorTickMark val="none"/>
        <c:tickLblPos val="nextTo"/>
        <c:spPr>
          <a:ln/>
        </c:spPr>
        <c:txPr>
          <a:bodyPr/>
          <a:lstStyle/>
          <a:p>
            <a:pPr lvl="0">
              <a:defRPr b="0" i="0" sz="900">
                <a:solidFill>
                  <a:srgbClr val="000000"/>
                </a:solidFill>
                <a:latin typeface="+mn-lt"/>
              </a:defRPr>
            </a:pPr>
          </a:p>
        </c:txPr>
        <c:crossAx val="834916988"/>
      </c:valAx>
      <c:valAx>
        <c:axId val="834916988"/>
        <c:scaling>
          <c:orientation val="minMax"/>
        </c:scaling>
        <c:delete val="0"/>
        <c:axPos val="l"/>
        <c:majorGridlines>
          <c:spPr>
            <a:ln>
              <a:solidFill>
                <a:srgbClr val="B7B7B7"/>
              </a:solidFill>
            </a:ln>
          </c:spPr>
        </c:majorGridlines>
        <c:title>
          <c:tx>
            <c:rich>
              <a:bodyPr/>
              <a:lstStyle/>
              <a:p>
                <a:pPr lvl="0">
                  <a:defRPr b="0">
                    <a:solidFill>
                      <a:srgbClr val="000000"/>
                    </a:solidFill>
                    <a:latin typeface="+mn-lt"/>
                  </a:defRPr>
                </a:pPr>
                <a:r>
                  <a:rPr b="0">
                    <a:solidFill>
                      <a:srgbClr val="000000"/>
                    </a:solidFill>
                    <a:latin typeface="+mn-lt"/>
                  </a:rPr>
                  <a:t/>
                </a:r>
              </a:p>
            </c:rich>
          </c:tx>
          <c:overlay val="0"/>
        </c:title>
        <c:numFmt formatCode="General" sourceLinked="1"/>
        <c:majorTickMark val="none"/>
        <c:minorTickMark val="none"/>
        <c:tickLblPos val="nextTo"/>
        <c:spPr>
          <a:ln/>
        </c:spPr>
        <c:txPr>
          <a:bodyPr/>
          <a:lstStyle/>
          <a:p>
            <a:pPr lvl="0">
              <a:defRPr b="0" i="0" sz="900">
                <a:solidFill>
                  <a:srgbClr val="000000"/>
                </a:solidFill>
                <a:latin typeface="+mn-lt"/>
              </a:defRPr>
            </a:pPr>
          </a:p>
        </c:txPr>
        <c:crossAx val="106961500"/>
      </c:valAx>
    </c:plotArea>
    <c:plotVisOnly val="1"/>
  </c:chart>
</c:chartSpace>
</file>

<file path=xl/charts/chart2.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1" i="0">
                <a:solidFill>
                  <a:srgbClr val="757575"/>
                </a:solidFill>
                <a:latin typeface="+mn-lt"/>
              </a:defRPr>
            </a:pPr>
            <a:r>
              <a:rPr b="1" i="0">
                <a:solidFill>
                  <a:srgbClr val="757575"/>
                </a:solidFill>
                <a:latin typeface="+mn-lt"/>
              </a:rPr>
              <a:t>Histograma</a:t>
            </a:r>
          </a:p>
        </c:rich>
      </c:tx>
      <c:overlay val="0"/>
    </c:title>
    <c:plotArea>
      <c:layout/>
      <c:barChart>
        <c:barDir val="col"/>
        <c:ser>
          <c:idx val="0"/>
          <c:order val="0"/>
          <c:cat>
            <c:strRef>
              <c:f>'06-06'!$K$71:$K$78</c:f>
            </c:strRef>
          </c:cat>
          <c:val>
            <c:numRef>
              <c:f>'06-06'!$L$71:$L$78</c:f>
              <c:numCache/>
            </c:numRef>
          </c:val>
        </c:ser>
        <c:axId val="1886761421"/>
        <c:axId val="2096082101"/>
      </c:barChart>
      <c:catAx>
        <c:axId val="1886761421"/>
        <c:scaling>
          <c:orientation val="minMax"/>
        </c:scaling>
        <c:delete val="0"/>
        <c:axPos val="b"/>
        <c:title>
          <c:tx>
            <c:rich>
              <a:bodyPr/>
              <a:lstStyle/>
              <a:p>
                <a:pPr lvl="0">
                  <a:defRPr b="1" i="0">
                    <a:solidFill>
                      <a:srgbClr val="000000"/>
                    </a:solidFill>
                    <a:latin typeface="+mn-lt"/>
                  </a:defRPr>
                </a:pPr>
                <a:r>
                  <a:rPr b="1" i="0">
                    <a:solidFill>
                      <a:srgbClr val="000000"/>
                    </a:solidFill>
                    <a:latin typeface="+mn-lt"/>
                  </a:rPr>
                  <a:t>Clase</a:t>
                </a:r>
              </a:p>
            </c:rich>
          </c:tx>
          <c:overlay val="0"/>
        </c:title>
        <c:numFmt formatCode="General" sourceLinked="1"/>
        <c:majorTickMark val="out"/>
        <c:minorTickMark val="none"/>
        <c:spPr/>
        <c:txPr>
          <a:bodyPr/>
          <a:lstStyle/>
          <a:p>
            <a:pPr lvl="0">
              <a:defRPr b="0">
                <a:solidFill>
                  <a:srgbClr val="000000"/>
                </a:solidFill>
                <a:latin typeface="+mn-lt"/>
              </a:defRPr>
            </a:pPr>
          </a:p>
        </c:txPr>
        <c:crossAx val="2096082101"/>
      </c:catAx>
      <c:valAx>
        <c:axId val="2096082101"/>
        <c:scaling>
          <c:orientation val="minMax"/>
        </c:scaling>
        <c:delete val="0"/>
        <c:axPos val="l"/>
        <c:tickLblPos val="nextTo"/>
        <c:spPr>
          <a:ln>
            <a:noFill/>
          </a:ln>
        </c:spPr>
        <c:crossAx val="1886761421"/>
      </c:valAx>
    </c:plotArea>
    <c:legend>
      <c:legendPos val="r"/>
      <c:overlay val="0"/>
      <c:txPr>
        <a:bodyPr/>
        <a:lstStyle/>
        <a:p>
          <a:pPr lvl="0">
            <a:defRPr b="0">
              <a:solidFill>
                <a:srgbClr val="1A1A1A"/>
              </a:solidFill>
              <a:latin typeface="+mn-lt"/>
            </a:defRPr>
          </a:pPr>
        </a:p>
      </c:txPr>
    </c:legend>
    <c:plotVisOnly val="1"/>
  </c:chart>
</c:chartSpace>
</file>

<file path=xl/charts/chart3.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1" i="0">
                <a:solidFill>
                  <a:srgbClr val="757575"/>
                </a:solidFill>
                <a:latin typeface="+mn-lt"/>
              </a:defRPr>
            </a:pPr>
            <a:r>
              <a:rPr b="1" i="0">
                <a:solidFill>
                  <a:srgbClr val="757575"/>
                </a:solidFill>
                <a:latin typeface="+mn-lt"/>
              </a:rPr>
              <a:t>Histograma</a:t>
            </a:r>
          </a:p>
        </c:rich>
      </c:tx>
      <c:overlay val="0"/>
    </c:title>
    <c:plotArea>
      <c:layout/>
      <c:barChart>
        <c:barDir val="col"/>
        <c:ser>
          <c:idx val="0"/>
          <c:order val="0"/>
          <c:cat>
            <c:strRef>
              <c:f>'06-06'!$M$71:$M$78</c:f>
            </c:strRef>
          </c:cat>
          <c:val>
            <c:numRef>
              <c:f>'06-06'!$N$71:$N$78</c:f>
              <c:numCache/>
            </c:numRef>
          </c:val>
        </c:ser>
        <c:axId val="274932310"/>
        <c:axId val="292208128"/>
      </c:barChart>
      <c:catAx>
        <c:axId val="274932310"/>
        <c:scaling>
          <c:orientation val="minMax"/>
        </c:scaling>
        <c:delete val="0"/>
        <c:axPos val="b"/>
        <c:title>
          <c:tx>
            <c:rich>
              <a:bodyPr/>
              <a:lstStyle/>
              <a:p>
                <a:pPr lvl="0">
                  <a:defRPr b="1" i="0">
                    <a:solidFill>
                      <a:srgbClr val="000000"/>
                    </a:solidFill>
                    <a:latin typeface="+mn-lt"/>
                  </a:defRPr>
                </a:pPr>
                <a:r>
                  <a:rPr b="1" i="0">
                    <a:solidFill>
                      <a:srgbClr val="000000"/>
                    </a:solidFill>
                    <a:latin typeface="+mn-lt"/>
                  </a:rPr>
                  <a:t>Clase</a:t>
                </a:r>
              </a:p>
            </c:rich>
          </c:tx>
          <c:overlay val="0"/>
        </c:title>
        <c:numFmt formatCode="General" sourceLinked="1"/>
        <c:majorTickMark val="out"/>
        <c:minorTickMark val="none"/>
        <c:spPr/>
        <c:txPr>
          <a:bodyPr/>
          <a:lstStyle/>
          <a:p>
            <a:pPr lvl="0">
              <a:defRPr b="0">
                <a:solidFill>
                  <a:srgbClr val="000000"/>
                </a:solidFill>
                <a:latin typeface="+mn-lt"/>
              </a:defRPr>
            </a:pPr>
          </a:p>
        </c:txPr>
        <c:crossAx val="292208128"/>
      </c:catAx>
      <c:valAx>
        <c:axId val="292208128"/>
        <c:scaling>
          <c:orientation val="minMax"/>
        </c:scaling>
        <c:delete val="0"/>
        <c:axPos val="l"/>
        <c:tickLblPos val="nextTo"/>
        <c:spPr>
          <a:ln>
            <a:noFill/>
          </a:ln>
        </c:spPr>
        <c:crossAx val="274932310"/>
      </c:valAx>
    </c:plotArea>
    <c:legend>
      <c:legendPos val="r"/>
      <c:overlay val="0"/>
      <c:txPr>
        <a:bodyPr/>
        <a:lstStyle/>
        <a:p>
          <a:pPr lvl="0">
            <a:defRPr b="0">
              <a:solidFill>
                <a:srgbClr val="1A1A1A"/>
              </a:solidFill>
              <a:latin typeface="+mn-lt"/>
            </a:defRPr>
          </a:pPr>
        </a:p>
      </c:txPr>
    </c:legend>
    <c:plotVisOnly val="1"/>
  </c:chart>
</c:chartSpace>
</file>

<file path=xl/charts/chart4.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1" i="0">
                <a:solidFill>
                  <a:srgbClr val="757575"/>
                </a:solidFill>
                <a:latin typeface="+mn-lt"/>
              </a:defRPr>
            </a:pPr>
            <a:r>
              <a:rPr b="1" i="0">
                <a:solidFill>
                  <a:srgbClr val="757575"/>
                </a:solidFill>
                <a:latin typeface="+mn-lt"/>
              </a:rPr>
              <a:t>Histograma</a:t>
            </a:r>
          </a:p>
        </c:rich>
      </c:tx>
      <c:overlay val="0"/>
    </c:title>
    <c:plotArea>
      <c:layout/>
      <c:barChart>
        <c:barDir val="col"/>
        <c:ser>
          <c:idx val="0"/>
          <c:order val="0"/>
          <c:tx>
            <c:v>Frecuencia</c:v>
          </c:tx>
          <c:spPr>
            <a:solidFill>
              <a:schemeClr val="accent1"/>
            </a:solidFill>
            <a:ln cmpd="sng">
              <a:solidFill>
                <a:srgbClr val="000000"/>
              </a:solidFill>
            </a:ln>
          </c:spPr>
          <c:cat>
            <c:strRef>
              <c:f>hist!$A$2:$A$9</c:f>
            </c:strRef>
          </c:cat>
          <c:val>
            <c:numRef>
              <c:f>hist!$B$2:$B$9</c:f>
              <c:numCache/>
            </c:numRef>
          </c:val>
        </c:ser>
        <c:axId val="949637870"/>
        <c:axId val="1633707901"/>
      </c:barChart>
      <c:catAx>
        <c:axId val="949637870"/>
        <c:scaling>
          <c:orientation val="minMax"/>
        </c:scaling>
        <c:delete val="0"/>
        <c:axPos val="b"/>
        <c:title>
          <c:tx>
            <c:rich>
              <a:bodyPr/>
              <a:lstStyle/>
              <a:p>
                <a:pPr lvl="0">
                  <a:defRPr b="1" i="0">
                    <a:solidFill>
                      <a:srgbClr val="000000"/>
                    </a:solidFill>
                    <a:latin typeface="+mn-lt"/>
                  </a:defRPr>
                </a:pPr>
                <a:r>
                  <a:rPr b="1" i="0">
                    <a:solidFill>
                      <a:srgbClr val="000000"/>
                    </a:solidFill>
                    <a:latin typeface="+mn-lt"/>
                  </a:rPr>
                  <a:t>Clase</a:t>
                </a:r>
              </a:p>
            </c:rich>
          </c:tx>
          <c:overlay val="0"/>
        </c:title>
        <c:numFmt formatCode="General" sourceLinked="1"/>
        <c:majorTickMark val="out"/>
        <c:minorTickMark val="none"/>
        <c:spPr/>
        <c:txPr>
          <a:bodyPr/>
          <a:lstStyle/>
          <a:p>
            <a:pPr lvl="0">
              <a:defRPr b="0">
                <a:solidFill>
                  <a:srgbClr val="000000"/>
                </a:solidFill>
                <a:latin typeface="+mn-lt"/>
              </a:defRPr>
            </a:pPr>
          </a:p>
        </c:txPr>
        <c:crossAx val="1633707901"/>
      </c:catAx>
      <c:valAx>
        <c:axId val="1633707901"/>
        <c:scaling>
          <c:orientation val="minMax"/>
        </c:scaling>
        <c:delete val="0"/>
        <c:axPos val="l"/>
        <c:title>
          <c:tx>
            <c:rich>
              <a:bodyPr/>
              <a:lstStyle/>
              <a:p>
                <a:pPr lvl="0">
                  <a:defRPr b="1" i="0">
                    <a:solidFill>
                      <a:srgbClr val="000000"/>
                    </a:solidFill>
                    <a:latin typeface="+mn-lt"/>
                  </a:defRPr>
                </a:pPr>
                <a:r>
                  <a:rPr b="1" i="0">
                    <a:solidFill>
                      <a:srgbClr val="000000"/>
                    </a:solidFill>
                    <a:latin typeface="+mn-lt"/>
                  </a:rPr>
                  <a:t>Frecuencia</a:t>
                </a:r>
              </a:p>
            </c:rich>
          </c:tx>
          <c:overlay val="0"/>
        </c:title>
        <c:numFmt formatCode="General" sourceLinked="1"/>
        <c:majorTickMark val="out"/>
        <c:minorTickMark val="none"/>
        <c:tickLblPos val="nextTo"/>
        <c:spPr>
          <a:ln/>
        </c:spPr>
        <c:txPr>
          <a:bodyPr/>
          <a:lstStyle/>
          <a:p>
            <a:pPr lvl="0">
              <a:defRPr b="0">
                <a:solidFill>
                  <a:srgbClr val="000000"/>
                </a:solidFill>
                <a:latin typeface="+mn-lt"/>
              </a:defRPr>
            </a:pPr>
          </a:p>
        </c:txPr>
        <c:crossAx val="949637870"/>
      </c:valAx>
    </c:plotArea>
    <c:legend>
      <c:legendPos val="r"/>
      <c:overlay val="0"/>
      <c:txPr>
        <a:bodyPr/>
        <a:lstStyle/>
        <a:p>
          <a:pPr lvl="0">
            <a:defRPr b="0">
              <a:solidFill>
                <a:srgbClr val="1A1A1A"/>
              </a:solidFill>
              <a:latin typeface="+mn-lt"/>
            </a:defRPr>
          </a:pPr>
        </a:p>
      </c:txPr>
    </c:legend>
    <c:plotVisOnly val="1"/>
  </c:chart>
</c:chartSpace>
</file>

<file path=xl/drawings/_rels/drawing1.xml.rels><?xml version="1.0" encoding="UTF-8" standalone="yes"?><Relationships xmlns="http://schemas.openxmlformats.org/package/2006/relationships"><Relationship Id="rId1" Type="http://schemas.openxmlformats.org/officeDocument/2006/relationships/image" Target="../media/image20.png"/><Relationship Id="rId2" Type="http://schemas.openxmlformats.org/officeDocument/2006/relationships/image" Target="../media/image15.png"/><Relationship Id="rId3" Type="http://schemas.openxmlformats.org/officeDocument/2006/relationships/image" Target="../media/image23.png"/><Relationship Id="rId4" Type="http://schemas.openxmlformats.org/officeDocument/2006/relationships/image" Target="../media/image13.png"/></Relationships>
</file>

<file path=xl/drawings/_rels/drawing10.xml.rels><?xml version="1.0" encoding="UTF-8" standalone="yes"?><Relationships xmlns="http://schemas.openxmlformats.org/package/2006/relationships"><Relationship Id="rId1" Type="http://schemas.openxmlformats.org/officeDocument/2006/relationships/chart" Target="../charts/chart2.xml"/><Relationship Id="rId2" Type="http://schemas.openxmlformats.org/officeDocument/2006/relationships/chart" Target="../charts/chart3.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4.xml"/></Relationships>
</file>

<file path=xl/drawings/_rels/drawing12.xml.rels><?xml version="1.0" encoding="UTF-8" standalone="yes"?><Relationships xmlns="http://schemas.openxmlformats.org/package/2006/relationships"><Relationship Id="rId20" Type="http://schemas.openxmlformats.org/officeDocument/2006/relationships/image" Target="../media/image123.png"/><Relationship Id="rId11" Type="http://schemas.openxmlformats.org/officeDocument/2006/relationships/image" Target="../media/image110.png"/><Relationship Id="rId22" Type="http://schemas.openxmlformats.org/officeDocument/2006/relationships/image" Target="../media/image129.png"/><Relationship Id="rId10" Type="http://schemas.openxmlformats.org/officeDocument/2006/relationships/image" Target="../media/image144.png"/><Relationship Id="rId21" Type="http://schemas.openxmlformats.org/officeDocument/2006/relationships/image" Target="../media/image124.png"/><Relationship Id="rId13" Type="http://schemas.openxmlformats.org/officeDocument/2006/relationships/image" Target="../media/image104.png"/><Relationship Id="rId12" Type="http://schemas.openxmlformats.org/officeDocument/2006/relationships/image" Target="../media/image113.png"/><Relationship Id="rId23" Type="http://schemas.openxmlformats.org/officeDocument/2006/relationships/image" Target="../media/image146.png"/><Relationship Id="rId1" Type="http://schemas.openxmlformats.org/officeDocument/2006/relationships/image" Target="../media/image103.png"/><Relationship Id="rId2" Type="http://schemas.openxmlformats.org/officeDocument/2006/relationships/image" Target="../media/image99.png"/><Relationship Id="rId3" Type="http://schemas.openxmlformats.org/officeDocument/2006/relationships/image" Target="../media/image109.png"/><Relationship Id="rId4" Type="http://schemas.openxmlformats.org/officeDocument/2006/relationships/image" Target="../media/image112.png"/><Relationship Id="rId9" Type="http://schemas.openxmlformats.org/officeDocument/2006/relationships/image" Target="../media/image143.png"/><Relationship Id="rId15" Type="http://schemas.openxmlformats.org/officeDocument/2006/relationships/image" Target="../media/image111.png"/><Relationship Id="rId14" Type="http://schemas.openxmlformats.org/officeDocument/2006/relationships/image" Target="../media/image117.png"/><Relationship Id="rId17" Type="http://schemas.openxmlformats.org/officeDocument/2006/relationships/image" Target="../media/image121.png"/><Relationship Id="rId16" Type="http://schemas.openxmlformats.org/officeDocument/2006/relationships/image" Target="../media/image116.png"/><Relationship Id="rId5" Type="http://schemas.openxmlformats.org/officeDocument/2006/relationships/image" Target="../media/image120.png"/><Relationship Id="rId19" Type="http://schemas.openxmlformats.org/officeDocument/2006/relationships/image" Target="../media/image126.png"/><Relationship Id="rId6" Type="http://schemas.openxmlformats.org/officeDocument/2006/relationships/image" Target="../media/image115.png"/><Relationship Id="rId18" Type="http://schemas.openxmlformats.org/officeDocument/2006/relationships/image" Target="../media/image139.png"/><Relationship Id="rId7" Type="http://schemas.openxmlformats.org/officeDocument/2006/relationships/image" Target="../media/image118.png"/><Relationship Id="rId8" Type="http://schemas.openxmlformats.org/officeDocument/2006/relationships/image" Target="../media/image114.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27.png"/><Relationship Id="rId2" Type="http://schemas.openxmlformats.org/officeDocument/2006/relationships/image" Target="../media/image132.png"/><Relationship Id="rId3" Type="http://schemas.openxmlformats.org/officeDocument/2006/relationships/image" Target="../media/image125.png"/><Relationship Id="rId4" Type="http://schemas.openxmlformats.org/officeDocument/2006/relationships/image" Target="../media/image13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31.png"/><Relationship Id="rId2" Type="http://schemas.openxmlformats.org/officeDocument/2006/relationships/image" Target="../media/image140.png"/><Relationship Id="rId3" Type="http://schemas.openxmlformats.org/officeDocument/2006/relationships/image" Target="../media/image138.png"/><Relationship Id="rId4" Type="http://schemas.openxmlformats.org/officeDocument/2006/relationships/image" Target="../media/image130.png"/><Relationship Id="rId5" Type="http://schemas.openxmlformats.org/officeDocument/2006/relationships/image" Target="../media/image13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36.png"/><Relationship Id="rId2" Type="http://schemas.openxmlformats.org/officeDocument/2006/relationships/image" Target="../media/image142.png"/><Relationship Id="rId3" Type="http://schemas.openxmlformats.org/officeDocument/2006/relationships/image" Target="../media/image133.png"/><Relationship Id="rId4" Type="http://schemas.openxmlformats.org/officeDocument/2006/relationships/image" Target="../media/image128.png"/><Relationship Id="rId5" Type="http://schemas.openxmlformats.org/officeDocument/2006/relationships/image" Target="../media/image141.png"/><Relationship Id="rId6" Type="http://schemas.openxmlformats.org/officeDocument/2006/relationships/image" Target="../media/image134.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48.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45.png"/><Relationship Id="rId2" Type="http://schemas.openxmlformats.org/officeDocument/2006/relationships/image" Target="../media/image147.png"/></Relationships>
</file>

<file path=xl/drawings/_rels/drawing2.xml.rels><?xml version="1.0" encoding="UTF-8" standalone="yes"?>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31.png"/><Relationship Id="rId3" Type="http://schemas.openxmlformats.org/officeDocument/2006/relationships/image" Target="../media/image19.png"/><Relationship Id="rId4" Type="http://schemas.openxmlformats.org/officeDocument/2006/relationships/image" Target="../media/image17.png"/><Relationship Id="rId5" Type="http://schemas.openxmlformats.org/officeDocument/2006/relationships/image" Target="../media/image4.png"/><Relationship Id="rId6" Type="http://schemas.openxmlformats.org/officeDocument/2006/relationships/image" Target="../media/image12.png"/><Relationship Id="rId7" Type="http://schemas.openxmlformats.org/officeDocument/2006/relationships/image" Target="../media/image5.png"/><Relationship Id="rId8" Type="http://schemas.openxmlformats.org/officeDocument/2006/relationships/image" Target="../media/image6.png"/></Relationships>
</file>

<file path=xl/drawings/_rels/drawing3.xml.rels><?xml version="1.0" encoding="UTF-8" standalone="yes"?><Relationships xmlns="http://schemas.openxmlformats.org/package/2006/relationships"><Relationship Id="rId20" Type="http://schemas.openxmlformats.org/officeDocument/2006/relationships/image" Target="../media/image37.png"/><Relationship Id="rId11" Type="http://schemas.openxmlformats.org/officeDocument/2006/relationships/image" Target="../media/image2.png"/><Relationship Id="rId10" Type="http://schemas.openxmlformats.org/officeDocument/2006/relationships/image" Target="../media/image9.png"/><Relationship Id="rId21" Type="http://schemas.openxmlformats.org/officeDocument/2006/relationships/image" Target="../media/image29.png"/><Relationship Id="rId13" Type="http://schemas.openxmlformats.org/officeDocument/2006/relationships/image" Target="../media/image21.png"/><Relationship Id="rId12" Type="http://schemas.openxmlformats.org/officeDocument/2006/relationships/image" Target="../media/image35.png"/><Relationship Id="rId1" Type="http://schemas.openxmlformats.org/officeDocument/2006/relationships/image" Target="../media/image16.png"/><Relationship Id="rId2" Type="http://schemas.openxmlformats.org/officeDocument/2006/relationships/image" Target="../media/image1.png"/><Relationship Id="rId3" Type="http://schemas.openxmlformats.org/officeDocument/2006/relationships/image" Target="../media/image8.png"/><Relationship Id="rId4" Type="http://schemas.openxmlformats.org/officeDocument/2006/relationships/image" Target="../media/image28.png"/><Relationship Id="rId9" Type="http://schemas.openxmlformats.org/officeDocument/2006/relationships/image" Target="../media/image14.png"/><Relationship Id="rId15" Type="http://schemas.openxmlformats.org/officeDocument/2006/relationships/image" Target="../media/image25.png"/><Relationship Id="rId14" Type="http://schemas.openxmlformats.org/officeDocument/2006/relationships/image" Target="../media/image24.png"/><Relationship Id="rId17" Type="http://schemas.openxmlformats.org/officeDocument/2006/relationships/image" Target="../media/image30.png"/><Relationship Id="rId16" Type="http://schemas.openxmlformats.org/officeDocument/2006/relationships/image" Target="../media/image51.png"/><Relationship Id="rId5" Type="http://schemas.openxmlformats.org/officeDocument/2006/relationships/image" Target="../media/image10.png"/><Relationship Id="rId19" Type="http://schemas.openxmlformats.org/officeDocument/2006/relationships/image" Target="../media/image41.png"/><Relationship Id="rId6" Type="http://schemas.openxmlformats.org/officeDocument/2006/relationships/image" Target="../media/image18.png"/><Relationship Id="rId18" Type="http://schemas.openxmlformats.org/officeDocument/2006/relationships/image" Target="../media/image38.png"/><Relationship Id="rId7" Type="http://schemas.openxmlformats.org/officeDocument/2006/relationships/image" Target="../media/image7.png"/><Relationship Id="rId8" Type="http://schemas.openxmlformats.org/officeDocument/2006/relationships/image" Target="../media/image3.png"/></Relationships>
</file>

<file path=xl/drawings/_rels/drawing4.xml.rels><?xml version="1.0" encoding="UTF-8" standalone="yes"?><Relationships xmlns="http://schemas.openxmlformats.org/package/2006/relationships"><Relationship Id="rId11" Type="http://schemas.openxmlformats.org/officeDocument/2006/relationships/image" Target="../media/image32.png"/><Relationship Id="rId10" Type="http://schemas.openxmlformats.org/officeDocument/2006/relationships/image" Target="../media/image36.png"/><Relationship Id="rId13" Type="http://schemas.openxmlformats.org/officeDocument/2006/relationships/image" Target="../media/image40.png"/><Relationship Id="rId12" Type="http://schemas.openxmlformats.org/officeDocument/2006/relationships/image" Target="../media/image45.png"/><Relationship Id="rId1" Type="http://schemas.openxmlformats.org/officeDocument/2006/relationships/image" Target="../media/image47.png"/><Relationship Id="rId2" Type="http://schemas.openxmlformats.org/officeDocument/2006/relationships/image" Target="../media/image26.png"/><Relationship Id="rId3" Type="http://schemas.openxmlformats.org/officeDocument/2006/relationships/image" Target="../media/image22.png"/><Relationship Id="rId4" Type="http://schemas.openxmlformats.org/officeDocument/2006/relationships/image" Target="../media/image27.png"/><Relationship Id="rId9" Type="http://schemas.openxmlformats.org/officeDocument/2006/relationships/image" Target="../media/image44.png"/><Relationship Id="rId14" Type="http://schemas.openxmlformats.org/officeDocument/2006/relationships/image" Target="../media/image49.png"/><Relationship Id="rId5" Type="http://schemas.openxmlformats.org/officeDocument/2006/relationships/image" Target="../media/image33.png"/><Relationship Id="rId6" Type="http://schemas.openxmlformats.org/officeDocument/2006/relationships/image" Target="../media/image50.png"/><Relationship Id="rId7" Type="http://schemas.openxmlformats.org/officeDocument/2006/relationships/image" Target="../media/image39.png"/><Relationship Id="rId8" Type="http://schemas.openxmlformats.org/officeDocument/2006/relationships/image" Target="../media/image46.png"/></Relationships>
</file>

<file path=xl/drawings/_rels/drawing5.xml.rels><?xml version="1.0" encoding="UTF-8" standalone="yes"?><Relationships xmlns="http://schemas.openxmlformats.org/package/2006/relationships"><Relationship Id="rId11" Type="http://schemas.openxmlformats.org/officeDocument/2006/relationships/image" Target="../media/image52.png"/><Relationship Id="rId10" Type="http://schemas.openxmlformats.org/officeDocument/2006/relationships/image" Target="../media/image71.png"/><Relationship Id="rId13" Type="http://schemas.openxmlformats.org/officeDocument/2006/relationships/image" Target="../media/image58.png"/><Relationship Id="rId12" Type="http://schemas.openxmlformats.org/officeDocument/2006/relationships/image" Target="../media/image69.png"/><Relationship Id="rId1" Type="http://schemas.openxmlformats.org/officeDocument/2006/relationships/image" Target="../media/image43.png"/><Relationship Id="rId2" Type="http://schemas.openxmlformats.org/officeDocument/2006/relationships/image" Target="../media/image55.png"/><Relationship Id="rId3" Type="http://schemas.openxmlformats.org/officeDocument/2006/relationships/image" Target="../media/image34.png"/><Relationship Id="rId4" Type="http://schemas.openxmlformats.org/officeDocument/2006/relationships/image" Target="../media/image54.png"/><Relationship Id="rId9" Type="http://schemas.openxmlformats.org/officeDocument/2006/relationships/image" Target="../media/image56.png"/><Relationship Id="rId15" Type="http://schemas.openxmlformats.org/officeDocument/2006/relationships/image" Target="../media/image87.png"/><Relationship Id="rId14" Type="http://schemas.openxmlformats.org/officeDocument/2006/relationships/image" Target="../media/image62.png"/><Relationship Id="rId5" Type="http://schemas.openxmlformats.org/officeDocument/2006/relationships/image" Target="../media/image48.png"/><Relationship Id="rId6" Type="http://schemas.openxmlformats.org/officeDocument/2006/relationships/image" Target="../media/image42.png"/><Relationship Id="rId7" Type="http://schemas.openxmlformats.org/officeDocument/2006/relationships/image" Target="../media/image59.png"/><Relationship Id="rId8" Type="http://schemas.openxmlformats.org/officeDocument/2006/relationships/image" Target="../media/image72.png"/></Relationships>
</file>

<file path=xl/drawings/_rels/drawing6.xml.rels><?xml version="1.0" encoding="UTF-8" standalone="yes"?><Relationships xmlns="http://schemas.openxmlformats.org/package/2006/relationships"><Relationship Id="rId1" Type="http://schemas.openxmlformats.org/officeDocument/2006/relationships/image" Target="../media/image63.png"/><Relationship Id="rId2" Type="http://schemas.openxmlformats.org/officeDocument/2006/relationships/image" Target="../media/image53.png"/><Relationship Id="rId3" Type="http://schemas.openxmlformats.org/officeDocument/2006/relationships/image" Target="../media/image60.png"/><Relationship Id="rId4" Type="http://schemas.openxmlformats.org/officeDocument/2006/relationships/image" Target="../media/image66.png"/><Relationship Id="rId5" Type="http://schemas.openxmlformats.org/officeDocument/2006/relationships/image" Target="../media/image68.png"/></Relationships>
</file>

<file path=xl/drawings/_rels/drawing7.xml.rels><?xml version="1.0" encoding="UTF-8" standalone="yes"?><Relationships xmlns="http://schemas.openxmlformats.org/package/2006/relationships"><Relationship Id="rId11" Type="http://schemas.openxmlformats.org/officeDocument/2006/relationships/image" Target="../media/image91.png"/><Relationship Id="rId10" Type="http://schemas.openxmlformats.org/officeDocument/2006/relationships/image" Target="../media/image84.png"/><Relationship Id="rId13" Type="http://schemas.openxmlformats.org/officeDocument/2006/relationships/image" Target="../media/image77.png"/><Relationship Id="rId12" Type="http://schemas.openxmlformats.org/officeDocument/2006/relationships/image" Target="../media/image70.png"/><Relationship Id="rId1" Type="http://schemas.openxmlformats.org/officeDocument/2006/relationships/image" Target="../media/image65.png"/><Relationship Id="rId2" Type="http://schemas.openxmlformats.org/officeDocument/2006/relationships/image" Target="../media/image64.png"/><Relationship Id="rId3" Type="http://schemas.openxmlformats.org/officeDocument/2006/relationships/image" Target="../media/image61.png"/><Relationship Id="rId4" Type="http://schemas.openxmlformats.org/officeDocument/2006/relationships/image" Target="../media/image57.png"/><Relationship Id="rId9" Type="http://schemas.openxmlformats.org/officeDocument/2006/relationships/image" Target="../media/image88.png"/><Relationship Id="rId15" Type="http://schemas.openxmlformats.org/officeDocument/2006/relationships/image" Target="../media/image102.png"/><Relationship Id="rId14" Type="http://schemas.openxmlformats.org/officeDocument/2006/relationships/image" Target="../media/image93.png"/><Relationship Id="rId17" Type="http://schemas.openxmlformats.org/officeDocument/2006/relationships/image" Target="../media/image83.png"/><Relationship Id="rId16" Type="http://schemas.openxmlformats.org/officeDocument/2006/relationships/image" Target="../media/image79.png"/><Relationship Id="rId5" Type="http://schemas.openxmlformats.org/officeDocument/2006/relationships/image" Target="../media/image76.png"/><Relationship Id="rId6" Type="http://schemas.openxmlformats.org/officeDocument/2006/relationships/image" Target="../media/image74.png"/><Relationship Id="rId18" Type="http://schemas.openxmlformats.org/officeDocument/2006/relationships/image" Target="../media/image75.png"/><Relationship Id="rId7" Type="http://schemas.openxmlformats.org/officeDocument/2006/relationships/image" Target="../media/image73.png"/><Relationship Id="rId8"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1" Type="http://schemas.openxmlformats.org/officeDocument/2006/relationships/image" Target="../media/image86.png"/><Relationship Id="rId10" Type="http://schemas.openxmlformats.org/officeDocument/2006/relationships/image" Target="../media/image82.png"/><Relationship Id="rId13" Type="http://schemas.openxmlformats.org/officeDocument/2006/relationships/image" Target="../media/image89.png"/><Relationship Id="rId12" Type="http://schemas.openxmlformats.org/officeDocument/2006/relationships/image" Target="../media/image106.png"/><Relationship Id="rId1" Type="http://schemas.openxmlformats.org/officeDocument/2006/relationships/image" Target="../media/image92.png"/><Relationship Id="rId2" Type="http://schemas.openxmlformats.org/officeDocument/2006/relationships/image" Target="../media/image81.png"/><Relationship Id="rId3" Type="http://schemas.openxmlformats.org/officeDocument/2006/relationships/image" Target="../media/image122.png"/><Relationship Id="rId4" Type="http://schemas.openxmlformats.org/officeDocument/2006/relationships/image" Target="../media/image85.png"/><Relationship Id="rId9" Type="http://schemas.openxmlformats.org/officeDocument/2006/relationships/image" Target="../media/image96.png"/><Relationship Id="rId15" Type="http://schemas.openxmlformats.org/officeDocument/2006/relationships/image" Target="../media/image90.png"/><Relationship Id="rId14" Type="http://schemas.openxmlformats.org/officeDocument/2006/relationships/image" Target="../media/image107.png"/><Relationship Id="rId17" Type="http://schemas.openxmlformats.org/officeDocument/2006/relationships/image" Target="../media/image101.png"/><Relationship Id="rId16" Type="http://schemas.openxmlformats.org/officeDocument/2006/relationships/image" Target="../media/image97.png"/><Relationship Id="rId5" Type="http://schemas.openxmlformats.org/officeDocument/2006/relationships/image" Target="../media/image78.png"/><Relationship Id="rId6" Type="http://schemas.openxmlformats.org/officeDocument/2006/relationships/image" Target="../media/image119.png"/><Relationship Id="rId7" Type="http://schemas.openxmlformats.org/officeDocument/2006/relationships/image" Target="../media/image95.png"/><Relationship Id="rId8" Type="http://schemas.openxmlformats.org/officeDocument/2006/relationships/image" Target="../media/image80.png"/></Relationships>
</file>

<file path=xl/drawings/_rels/drawing9.xml.rels><?xml version="1.0" encoding="UTF-8" standalone="yes"?><Relationships xmlns="http://schemas.openxmlformats.org/package/2006/relationships"><Relationship Id="rId1" Type="http://schemas.openxmlformats.org/officeDocument/2006/relationships/chart" Target="../charts/chart1.xml"/><Relationship Id="rId2" Type="http://schemas.openxmlformats.org/officeDocument/2006/relationships/image" Target="../media/image100.png"/><Relationship Id="rId3" Type="http://schemas.openxmlformats.org/officeDocument/2006/relationships/image" Target="../media/image94.png"/><Relationship Id="rId4" Type="http://schemas.openxmlformats.org/officeDocument/2006/relationships/image" Target="../media/image98.png"/><Relationship Id="rId5" Type="http://schemas.openxmlformats.org/officeDocument/2006/relationships/image" Target="../media/image108.png"/><Relationship Id="rId6" Type="http://schemas.openxmlformats.org/officeDocument/2006/relationships/image" Target="../media/image105.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266700</xdr:colOff>
      <xdr:row>5</xdr:row>
      <xdr:rowOff>123825</xdr:rowOff>
    </xdr:from>
    <xdr:ext cx="1724025" cy="828675"/>
    <xdr:pic>
      <xdr:nvPicPr>
        <xdr:cNvPr id="0" name="image20.png"/>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657225</xdr:colOff>
      <xdr:row>5</xdr:row>
      <xdr:rowOff>142875</xdr:rowOff>
    </xdr:from>
    <xdr:ext cx="2219325" cy="828675"/>
    <xdr:pic>
      <xdr:nvPicPr>
        <xdr:cNvPr id="0" name="image15.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114300</xdr:colOff>
      <xdr:row>29</xdr:row>
      <xdr:rowOff>85725</xdr:rowOff>
    </xdr:from>
    <xdr:ext cx="3486150" cy="2867025"/>
    <xdr:pic>
      <xdr:nvPicPr>
        <xdr:cNvPr id="0" name="image23.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76200</xdr:colOff>
      <xdr:row>53</xdr:row>
      <xdr:rowOff>171450</xdr:rowOff>
    </xdr:from>
    <xdr:ext cx="2828925" cy="895350"/>
    <xdr:pic>
      <xdr:nvPicPr>
        <xdr:cNvPr id="0" name="image13.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247650</xdr:colOff>
      <xdr:row>21</xdr:row>
      <xdr:rowOff>171450</xdr:rowOff>
    </xdr:from>
    <xdr:ext cx="4286250" cy="1809750"/>
    <xdr:graphicFrame>
      <xdr:nvGraphicFramePr>
        <xdr:cNvPr id="108147173" name="Chart 2"/>
        <xdr:cNvGraphicFramePr/>
      </xdr:nvGraphicFramePr>
      <xdr:xfrm>
        <a:off x="0" y="0"/>
        <a:ext cx="0" cy="0"/>
      </xdr:xfrm>
      <a:graphic>
        <a:graphicData uri="http://schemas.openxmlformats.org/drawingml/2006/chart">
          <c:chart r:id="rId1"/>
        </a:graphicData>
      </a:graphic>
    </xdr:graphicFrame>
    <xdr:clientData fLocksWithSheet="0"/>
  </xdr:oneCellAnchor>
  <xdr:oneCellAnchor>
    <xdr:from>
      <xdr:col>40</xdr:col>
      <xdr:colOff>38100</xdr:colOff>
      <xdr:row>12</xdr:row>
      <xdr:rowOff>171450</xdr:rowOff>
    </xdr:from>
    <xdr:ext cx="4286250" cy="1809750"/>
    <xdr:graphicFrame>
      <xdr:nvGraphicFramePr>
        <xdr:cNvPr id="989668481" name="Chart 3"/>
        <xdr:cNvGraphicFramePr/>
      </xdr:nvGraphicFramePr>
      <xdr:xfrm>
        <a:off x="0" y="0"/>
        <a:ext cx="0" cy="0"/>
      </xdr:xfrm>
      <a:graphic>
        <a:graphicData uri="http://schemas.openxmlformats.org/drawingml/2006/chart">
          <c:chart r:id="rId2"/>
        </a:graphicData>
      </a:graphic>
    </xdr:graphicFrame>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247650</xdr:colOff>
      <xdr:row>0</xdr:row>
      <xdr:rowOff>171450</xdr:rowOff>
    </xdr:from>
    <xdr:ext cx="4286250" cy="1809750"/>
    <xdr:graphicFrame>
      <xdr:nvGraphicFramePr>
        <xdr:cNvPr id="1736465252" name="Chart 4"/>
        <xdr:cNvGraphicFramePr/>
      </xdr:nvGraphicFramePr>
      <xdr:xfrm>
        <a:off x="0" y="0"/>
        <a:ext cx="0" cy="0"/>
      </xdr:xfrm>
      <a:graphic>
        <a:graphicData uri="http://schemas.openxmlformats.org/drawingml/2006/chart">
          <c:chart r:id="rId1"/>
        </a:graphicData>
      </a:graphic>
    </xdr:graphicFrame>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114300</xdr:colOff>
      <xdr:row>25</xdr:row>
      <xdr:rowOff>152400</xdr:rowOff>
    </xdr:from>
    <xdr:ext cx="1495425" cy="361950"/>
    <xdr:grpSp>
      <xdr:nvGrpSpPr>
        <xdr:cNvPr id="2" name="Shape 2"/>
        <xdr:cNvGrpSpPr/>
      </xdr:nvGrpSpPr>
      <xdr:grpSpPr>
        <a:xfrm>
          <a:off x="4603050" y="3599025"/>
          <a:ext cx="1485900" cy="361950"/>
          <a:chOff x="4603050" y="3599025"/>
          <a:chExt cx="1485900" cy="361950"/>
        </a:xfrm>
      </xdr:grpSpPr>
      <xdr:cxnSp>
        <xdr:nvCxnSpPr>
          <xdr:cNvPr id="3" name="Shape 3"/>
          <xdr:cNvCxnSpPr/>
        </xdr:nvCxnSpPr>
        <xdr:spPr>
          <a:xfrm rot="10800000">
            <a:off x="4603050" y="3599025"/>
            <a:ext cx="1485900" cy="361950"/>
          </a:xfrm>
          <a:prstGeom prst="straightConnector1">
            <a:avLst/>
          </a:prstGeom>
          <a:noFill/>
          <a:ln cap="flat" cmpd="sng" w="12700">
            <a:solidFill>
              <a:schemeClr val="dk1"/>
            </a:solidFill>
            <a:prstDash val="solid"/>
            <a:miter lim="800000"/>
            <a:headEnd len="sm" w="sm" type="none"/>
            <a:tailEnd len="med" w="med" type="triangle"/>
          </a:ln>
        </xdr:spPr>
      </xdr:cxnSp>
    </xdr:grpSp>
    <xdr:clientData fLocksWithSheet="0"/>
  </xdr:oneCellAnchor>
  <xdr:oneCellAnchor>
    <xdr:from>
      <xdr:col>4</xdr:col>
      <xdr:colOff>57150</xdr:colOff>
      <xdr:row>105</xdr:row>
      <xdr:rowOff>76200</xdr:rowOff>
    </xdr:from>
    <xdr:ext cx="2438400" cy="657225"/>
    <xdr:grpSp>
      <xdr:nvGrpSpPr>
        <xdr:cNvPr id="2" name="Shape 2"/>
        <xdr:cNvGrpSpPr/>
      </xdr:nvGrpSpPr>
      <xdr:grpSpPr>
        <a:xfrm>
          <a:off x="4131563" y="3456150"/>
          <a:ext cx="2428875" cy="647700"/>
          <a:chOff x="4131563" y="3456150"/>
          <a:chExt cx="2428875" cy="647700"/>
        </a:xfrm>
      </xdr:grpSpPr>
      <xdr:cxnSp>
        <xdr:nvCxnSpPr>
          <xdr:cNvPr id="4" name="Shape 4"/>
          <xdr:cNvCxnSpPr/>
        </xdr:nvCxnSpPr>
        <xdr:spPr>
          <a:xfrm flipH="1" rot="10800000">
            <a:off x="4131563" y="3456150"/>
            <a:ext cx="2428875" cy="647700"/>
          </a:xfrm>
          <a:prstGeom prst="straightConnector1">
            <a:avLst/>
          </a:prstGeom>
          <a:noFill/>
          <a:ln cap="flat" cmpd="sng" w="12700">
            <a:solidFill>
              <a:schemeClr val="dk1"/>
            </a:solidFill>
            <a:prstDash val="solid"/>
            <a:miter lim="800000"/>
            <a:headEnd len="sm" w="sm" type="none"/>
            <a:tailEnd len="med" w="med" type="triangle"/>
          </a:ln>
        </xdr:spPr>
      </xdr:cxnSp>
    </xdr:grpSp>
    <xdr:clientData fLocksWithSheet="0"/>
  </xdr:oneCellAnchor>
  <xdr:oneCellAnchor>
    <xdr:from>
      <xdr:col>3</xdr:col>
      <xdr:colOff>419100</xdr:colOff>
      <xdr:row>140</xdr:row>
      <xdr:rowOff>57150</xdr:rowOff>
    </xdr:from>
    <xdr:ext cx="2781300" cy="2028825"/>
    <xdr:grpSp>
      <xdr:nvGrpSpPr>
        <xdr:cNvPr id="2" name="Shape 2"/>
        <xdr:cNvGrpSpPr/>
      </xdr:nvGrpSpPr>
      <xdr:grpSpPr>
        <a:xfrm>
          <a:off x="3960113" y="2770350"/>
          <a:ext cx="2771775" cy="2019300"/>
          <a:chOff x="3960113" y="2770350"/>
          <a:chExt cx="2771775" cy="2019300"/>
        </a:xfrm>
      </xdr:grpSpPr>
      <xdr:cxnSp>
        <xdr:nvCxnSpPr>
          <xdr:cNvPr id="5" name="Shape 5"/>
          <xdr:cNvCxnSpPr/>
        </xdr:nvCxnSpPr>
        <xdr:spPr>
          <a:xfrm flipH="1" rot="10800000">
            <a:off x="3960113" y="2770350"/>
            <a:ext cx="2771775" cy="2019300"/>
          </a:xfrm>
          <a:prstGeom prst="straightConnector1">
            <a:avLst/>
          </a:prstGeom>
          <a:noFill/>
          <a:ln cap="flat" cmpd="sng" w="12700">
            <a:solidFill>
              <a:schemeClr val="dk1"/>
            </a:solidFill>
            <a:prstDash val="solid"/>
            <a:miter lim="800000"/>
            <a:headEnd len="sm" w="sm" type="none"/>
            <a:tailEnd len="med" w="med" type="triangle"/>
          </a:ln>
        </xdr:spPr>
      </xdr:cxnSp>
    </xdr:grpSp>
    <xdr:clientData fLocksWithSheet="0"/>
  </xdr:oneCellAnchor>
  <xdr:oneCellAnchor>
    <xdr:from>
      <xdr:col>6</xdr:col>
      <xdr:colOff>581025</xdr:colOff>
      <xdr:row>183</xdr:row>
      <xdr:rowOff>152400</xdr:rowOff>
    </xdr:from>
    <xdr:ext cx="1343025" cy="104775"/>
    <xdr:grpSp>
      <xdr:nvGrpSpPr>
        <xdr:cNvPr id="2" name="Shape 2"/>
        <xdr:cNvGrpSpPr/>
      </xdr:nvGrpSpPr>
      <xdr:grpSpPr>
        <a:xfrm>
          <a:off x="4679250" y="3732375"/>
          <a:ext cx="1333500" cy="95250"/>
          <a:chOff x="4679250" y="3732375"/>
          <a:chExt cx="1333500" cy="95250"/>
        </a:xfrm>
      </xdr:grpSpPr>
      <xdr:cxnSp>
        <xdr:nvCxnSpPr>
          <xdr:cNvPr id="6" name="Shape 6"/>
          <xdr:cNvCxnSpPr/>
        </xdr:nvCxnSpPr>
        <xdr:spPr>
          <a:xfrm flipH="1" rot="10800000">
            <a:off x="4679250" y="3732375"/>
            <a:ext cx="1333500" cy="95250"/>
          </a:xfrm>
          <a:prstGeom prst="straightConnector1">
            <a:avLst/>
          </a:prstGeom>
          <a:noFill/>
          <a:ln cap="flat" cmpd="sng" w="12700">
            <a:solidFill>
              <a:schemeClr val="dk1"/>
            </a:solidFill>
            <a:prstDash val="solid"/>
            <a:miter lim="800000"/>
            <a:headEnd len="sm" w="sm" type="none"/>
            <a:tailEnd len="med" w="med" type="triangle"/>
          </a:ln>
        </xdr:spPr>
      </xdr:cxnSp>
    </xdr:grpSp>
    <xdr:clientData fLocksWithSheet="0"/>
  </xdr:oneCellAnchor>
  <xdr:oneCellAnchor>
    <xdr:from>
      <xdr:col>4</xdr:col>
      <xdr:colOff>152400</xdr:colOff>
      <xdr:row>253</xdr:row>
      <xdr:rowOff>66675</xdr:rowOff>
    </xdr:from>
    <xdr:ext cx="2524125" cy="1362075"/>
    <xdr:grpSp>
      <xdr:nvGrpSpPr>
        <xdr:cNvPr id="2" name="Shape 2"/>
        <xdr:cNvGrpSpPr/>
      </xdr:nvGrpSpPr>
      <xdr:grpSpPr>
        <a:xfrm>
          <a:off x="4088700" y="3103725"/>
          <a:ext cx="2514600" cy="1352550"/>
          <a:chOff x="4088700" y="3103725"/>
          <a:chExt cx="2514600" cy="1352550"/>
        </a:xfrm>
      </xdr:grpSpPr>
      <xdr:cxnSp>
        <xdr:nvCxnSpPr>
          <xdr:cNvPr id="7" name="Shape 7"/>
          <xdr:cNvCxnSpPr/>
        </xdr:nvCxnSpPr>
        <xdr:spPr>
          <a:xfrm flipH="1">
            <a:off x="4088700" y="3103725"/>
            <a:ext cx="2514600" cy="1352550"/>
          </a:xfrm>
          <a:prstGeom prst="straightConnector1">
            <a:avLst/>
          </a:prstGeom>
          <a:noFill/>
          <a:ln cap="flat" cmpd="sng" w="12700">
            <a:solidFill>
              <a:schemeClr val="dk1"/>
            </a:solidFill>
            <a:prstDash val="solid"/>
            <a:miter lim="800000"/>
            <a:headEnd len="sm" w="sm" type="none"/>
            <a:tailEnd len="med" w="med" type="triangle"/>
          </a:ln>
        </xdr:spPr>
      </xdr:cxnSp>
    </xdr:grpSp>
    <xdr:clientData fLocksWithSheet="0"/>
  </xdr:oneCellAnchor>
  <xdr:oneCellAnchor>
    <xdr:from>
      <xdr:col>0</xdr:col>
      <xdr:colOff>19050</xdr:colOff>
      <xdr:row>19</xdr:row>
      <xdr:rowOff>152400</xdr:rowOff>
    </xdr:from>
    <xdr:ext cx="2466975" cy="1485900"/>
    <xdr:pic>
      <xdr:nvPicPr>
        <xdr:cNvPr id="0" name="image103.png"/>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38100</xdr:colOff>
      <xdr:row>21</xdr:row>
      <xdr:rowOff>0</xdr:rowOff>
    </xdr:from>
    <xdr:ext cx="1428750" cy="828675"/>
    <xdr:pic>
      <xdr:nvPicPr>
        <xdr:cNvPr id="0" name="image99.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34</xdr:row>
      <xdr:rowOff>0</xdr:rowOff>
    </xdr:from>
    <xdr:ext cx="3105150" cy="1905000"/>
    <xdr:pic>
      <xdr:nvPicPr>
        <xdr:cNvPr id="0" name="image109.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66675</xdr:colOff>
      <xdr:row>49</xdr:row>
      <xdr:rowOff>95250</xdr:rowOff>
    </xdr:from>
    <xdr:ext cx="4000500" cy="2828925"/>
    <xdr:pic>
      <xdr:nvPicPr>
        <xdr:cNvPr id="0" name="image112.pn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685800</xdr:colOff>
      <xdr:row>49</xdr:row>
      <xdr:rowOff>38100</xdr:rowOff>
    </xdr:from>
    <xdr:ext cx="4048125" cy="2952750"/>
    <xdr:pic>
      <xdr:nvPicPr>
        <xdr:cNvPr id="0" name="image120.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180975</xdr:colOff>
      <xdr:row>65</xdr:row>
      <xdr:rowOff>47625</xdr:rowOff>
    </xdr:from>
    <xdr:ext cx="3343275" cy="1800225"/>
    <xdr:pic>
      <xdr:nvPicPr>
        <xdr:cNvPr id="0" name="image115.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123825</xdr:colOff>
      <xdr:row>95</xdr:row>
      <xdr:rowOff>47625</xdr:rowOff>
    </xdr:from>
    <xdr:ext cx="2647950" cy="285750"/>
    <xdr:pic>
      <xdr:nvPicPr>
        <xdr:cNvPr id="0" name="image118.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102</xdr:row>
      <xdr:rowOff>95250</xdr:rowOff>
    </xdr:from>
    <xdr:ext cx="3609975" cy="514350"/>
    <xdr:pic>
      <xdr:nvPicPr>
        <xdr:cNvPr id="0" name="image114.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142875</xdr:colOff>
      <xdr:row>106</xdr:row>
      <xdr:rowOff>133350</xdr:rowOff>
    </xdr:from>
    <xdr:ext cx="2847975" cy="885825"/>
    <xdr:pic>
      <xdr:nvPicPr>
        <xdr:cNvPr id="0" name="image143.png"/>
        <xdr:cNvPicPr preferRelativeResize="0"/>
      </xdr:nvPicPr>
      <xdr:blipFill>
        <a:blip cstate="print" r:embed="rId9"/>
        <a:stretch>
          <a:fillRect/>
        </a:stretch>
      </xdr:blipFill>
      <xdr:spPr>
        <a:prstGeom prst="rect">
          <a:avLst/>
        </a:prstGeom>
        <a:noFill/>
      </xdr:spPr>
    </xdr:pic>
    <xdr:clientData fLocksWithSheet="0"/>
  </xdr:oneCellAnchor>
  <xdr:oneCellAnchor>
    <xdr:from>
      <xdr:col>5</xdr:col>
      <xdr:colOff>161925</xdr:colOff>
      <xdr:row>98</xdr:row>
      <xdr:rowOff>38100</xdr:rowOff>
    </xdr:from>
    <xdr:ext cx="2762250" cy="2381250"/>
    <xdr:pic>
      <xdr:nvPicPr>
        <xdr:cNvPr id="0" name="image144.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304800</xdr:colOff>
      <xdr:row>113</xdr:row>
      <xdr:rowOff>152400</xdr:rowOff>
    </xdr:from>
    <xdr:ext cx="3171825" cy="1381125"/>
    <xdr:pic>
      <xdr:nvPicPr>
        <xdr:cNvPr id="0" name="image110.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124</xdr:row>
      <xdr:rowOff>85725</xdr:rowOff>
    </xdr:from>
    <xdr:ext cx="7096125" cy="3629025"/>
    <xdr:pic>
      <xdr:nvPicPr>
        <xdr:cNvPr id="0" name="image113.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145</xdr:row>
      <xdr:rowOff>0</xdr:rowOff>
    </xdr:from>
    <xdr:ext cx="2914650" cy="714375"/>
    <xdr:pic>
      <xdr:nvPicPr>
        <xdr:cNvPr id="0" name="image104.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149</xdr:row>
      <xdr:rowOff>0</xdr:rowOff>
    </xdr:from>
    <xdr:ext cx="2686050" cy="876300"/>
    <xdr:pic>
      <xdr:nvPicPr>
        <xdr:cNvPr id="0" name="image117.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155</xdr:row>
      <xdr:rowOff>0</xdr:rowOff>
    </xdr:from>
    <xdr:ext cx="6143625" cy="1962150"/>
    <xdr:pic>
      <xdr:nvPicPr>
        <xdr:cNvPr id="0" name="image111.pn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66675</xdr:colOff>
      <xdr:row>169</xdr:row>
      <xdr:rowOff>180975</xdr:rowOff>
    </xdr:from>
    <xdr:ext cx="676275" cy="295275"/>
    <xdr:pic>
      <xdr:nvPicPr>
        <xdr:cNvPr id="0" name="image116.pn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38100</xdr:colOff>
      <xdr:row>172</xdr:row>
      <xdr:rowOff>76200</xdr:rowOff>
    </xdr:from>
    <xdr:ext cx="5791200" cy="895350"/>
    <xdr:pic>
      <xdr:nvPicPr>
        <xdr:cNvPr id="0" name="image121.pn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38100</xdr:colOff>
      <xdr:row>176</xdr:row>
      <xdr:rowOff>38100</xdr:rowOff>
    </xdr:from>
    <xdr:ext cx="2886075" cy="723900"/>
    <xdr:pic>
      <xdr:nvPicPr>
        <xdr:cNvPr id="0" name="image139.pn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181</xdr:row>
      <xdr:rowOff>0</xdr:rowOff>
    </xdr:from>
    <xdr:ext cx="3276600" cy="1323975"/>
    <xdr:pic>
      <xdr:nvPicPr>
        <xdr:cNvPr id="0" name="image126.png"/>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609600</xdr:colOff>
      <xdr:row>183</xdr:row>
      <xdr:rowOff>38100</xdr:rowOff>
    </xdr:from>
    <xdr:ext cx="828675" cy="152400"/>
    <xdr:pic>
      <xdr:nvPicPr>
        <xdr:cNvPr id="0" name="image123.png"/>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466725</xdr:colOff>
      <xdr:row>177</xdr:row>
      <xdr:rowOff>104775</xdr:rowOff>
    </xdr:from>
    <xdr:ext cx="4705350" cy="1933575"/>
    <xdr:pic>
      <xdr:nvPicPr>
        <xdr:cNvPr id="0" name="image124.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647700</xdr:colOff>
      <xdr:row>246</xdr:row>
      <xdr:rowOff>171450</xdr:rowOff>
    </xdr:from>
    <xdr:ext cx="5229225" cy="1933575"/>
    <xdr:pic>
      <xdr:nvPicPr>
        <xdr:cNvPr id="0" name="image129.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752475</xdr:colOff>
      <xdr:row>257</xdr:row>
      <xdr:rowOff>123825</xdr:rowOff>
    </xdr:from>
    <xdr:ext cx="4486275" cy="1276350"/>
    <xdr:pic>
      <xdr:nvPicPr>
        <xdr:cNvPr id="0" name="image146.png"/>
        <xdr:cNvPicPr preferRelativeResize="0"/>
      </xdr:nvPicPr>
      <xdr:blipFill>
        <a:blip cstate="print" r:embed="rId23"/>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361950</xdr:colOff>
      <xdr:row>43</xdr:row>
      <xdr:rowOff>76200</xdr:rowOff>
    </xdr:from>
    <xdr:ext cx="809625" cy="1381125"/>
    <xdr:grpSp>
      <xdr:nvGrpSpPr>
        <xdr:cNvPr id="2" name="Shape 2"/>
        <xdr:cNvGrpSpPr/>
      </xdr:nvGrpSpPr>
      <xdr:grpSpPr>
        <a:xfrm>
          <a:off x="4945950" y="3094200"/>
          <a:ext cx="800100" cy="1371600"/>
          <a:chOff x="4945950" y="3094200"/>
          <a:chExt cx="800100" cy="1371600"/>
        </a:xfrm>
      </xdr:grpSpPr>
      <xdr:cxnSp>
        <xdr:nvCxnSpPr>
          <xdr:cNvPr id="8" name="Shape 8"/>
          <xdr:cNvCxnSpPr/>
        </xdr:nvCxnSpPr>
        <xdr:spPr>
          <a:xfrm rot="10800000">
            <a:off x="4945950" y="3094200"/>
            <a:ext cx="800100" cy="1371600"/>
          </a:xfrm>
          <a:prstGeom prst="straightConnector1">
            <a:avLst/>
          </a:prstGeom>
          <a:noFill/>
          <a:ln cap="flat" cmpd="sng" w="12700">
            <a:solidFill>
              <a:schemeClr val="dk1"/>
            </a:solidFill>
            <a:prstDash val="solid"/>
            <a:miter lim="800000"/>
            <a:headEnd len="sm" w="sm" type="none"/>
            <a:tailEnd len="med" w="med" type="triangle"/>
          </a:ln>
        </xdr:spPr>
      </xdr:cxnSp>
    </xdr:grpSp>
    <xdr:clientData fLocksWithSheet="0"/>
  </xdr:oneCellAnchor>
  <xdr:oneCellAnchor>
    <xdr:from>
      <xdr:col>0</xdr:col>
      <xdr:colOff>0</xdr:colOff>
      <xdr:row>1</xdr:row>
      <xdr:rowOff>38100</xdr:rowOff>
    </xdr:from>
    <xdr:ext cx="5648325" cy="1685925"/>
    <xdr:pic>
      <xdr:nvPicPr>
        <xdr:cNvPr id="0" name="image127.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36</xdr:row>
      <xdr:rowOff>0</xdr:rowOff>
    </xdr:from>
    <xdr:ext cx="2667000" cy="1733550"/>
    <xdr:pic>
      <xdr:nvPicPr>
        <xdr:cNvPr id="0" name="image13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48</xdr:row>
      <xdr:rowOff>133350</xdr:rowOff>
    </xdr:from>
    <xdr:ext cx="3867150" cy="990600"/>
    <xdr:pic>
      <xdr:nvPicPr>
        <xdr:cNvPr id="0" name="image125.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76200</xdr:colOff>
      <xdr:row>56</xdr:row>
      <xdr:rowOff>0</xdr:rowOff>
    </xdr:from>
    <xdr:ext cx="4200525" cy="2686050"/>
    <xdr:pic>
      <xdr:nvPicPr>
        <xdr:cNvPr id="0" name="image135.png"/>
        <xdr:cNvPicPr preferRelativeResize="0"/>
      </xdr:nvPicPr>
      <xdr:blipFill>
        <a:blip cstate="print" r:embed="rId4"/>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4848225" cy="2114550"/>
    <xdr:pic>
      <xdr:nvPicPr>
        <xdr:cNvPr id="0" name="image131.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11</xdr:row>
      <xdr:rowOff>47625</xdr:rowOff>
    </xdr:from>
    <xdr:ext cx="4619625" cy="4067175"/>
    <xdr:pic>
      <xdr:nvPicPr>
        <xdr:cNvPr id="0" name="image140.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38100</xdr:colOff>
      <xdr:row>43</xdr:row>
      <xdr:rowOff>76200</xdr:rowOff>
    </xdr:from>
    <xdr:ext cx="4200525" cy="1028700"/>
    <xdr:pic>
      <xdr:nvPicPr>
        <xdr:cNvPr id="0" name="image138.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34</xdr:row>
      <xdr:rowOff>0</xdr:rowOff>
    </xdr:from>
    <xdr:ext cx="5019675" cy="1400175"/>
    <xdr:pic>
      <xdr:nvPicPr>
        <xdr:cNvPr id="0" name="image130.pn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419100</xdr:colOff>
      <xdr:row>67</xdr:row>
      <xdr:rowOff>76200</xdr:rowOff>
    </xdr:from>
    <xdr:ext cx="1057275" cy="733425"/>
    <xdr:pic>
      <xdr:nvPicPr>
        <xdr:cNvPr id="0" name="image137.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47625</xdr:colOff>
      <xdr:row>26</xdr:row>
      <xdr:rowOff>76200</xdr:rowOff>
    </xdr:from>
    <xdr:ext cx="1200150" cy="4257675"/>
    <xdr:grpSp>
      <xdr:nvGrpSpPr>
        <xdr:cNvPr id="2" name="Shape 2"/>
        <xdr:cNvGrpSpPr/>
      </xdr:nvGrpSpPr>
      <xdr:grpSpPr>
        <a:xfrm>
          <a:off x="4750688" y="1655925"/>
          <a:ext cx="1190625" cy="4248150"/>
          <a:chOff x="4750688" y="1655925"/>
          <a:chExt cx="1190625" cy="4248150"/>
        </a:xfrm>
      </xdr:grpSpPr>
      <xdr:cxnSp>
        <xdr:nvCxnSpPr>
          <xdr:cNvPr id="9" name="Shape 9"/>
          <xdr:cNvCxnSpPr/>
        </xdr:nvCxnSpPr>
        <xdr:spPr>
          <a:xfrm rot="10800000">
            <a:off x="4750688" y="1655925"/>
            <a:ext cx="1190625" cy="4248150"/>
          </a:xfrm>
          <a:prstGeom prst="straightConnector1">
            <a:avLst/>
          </a:prstGeom>
          <a:noFill/>
          <a:ln cap="flat" cmpd="sng" w="12700">
            <a:solidFill>
              <a:schemeClr val="dk1"/>
            </a:solidFill>
            <a:prstDash val="solid"/>
            <a:miter lim="800000"/>
            <a:headEnd len="sm" w="sm" type="none"/>
            <a:tailEnd len="med" w="med" type="triangle"/>
          </a:ln>
        </xdr:spPr>
      </xdr:cxnSp>
    </xdr:grpSp>
    <xdr:clientData fLocksWithSheet="0"/>
  </xdr:oneCellAnchor>
  <xdr:oneCellAnchor>
    <xdr:from>
      <xdr:col>0</xdr:col>
      <xdr:colOff>361950</xdr:colOff>
      <xdr:row>17</xdr:row>
      <xdr:rowOff>142875</xdr:rowOff>
    </xdr:from>
    <xdr:ext cx="3600450" cy="1952625"/>
    <xdr:pic>
      <xdr:nvPicPr>
        <xdr:cNvPr id="0" name="image136.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34</xdr:row>
      <xdr:rowOff>0</xdr:rowOff>
    </xdr:from>
    <xdr:ext cx="3467100" cy="828675"/>
    <xdr:pic>
      <xdr:nvPicPr>
        <xdr:cNvPr id="0" name="image142.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47625</xdr:colOff>
      <xdr:row>42</xdr:row>
      <xdr:rowOff>9525</xdr:rowOff>
    </xdr:from>
    <xdr:ext cx="2895600" cy="695325"/>
    <xdr:pic>
      <xdr:nvPicPr>
        <xdr:cNvPr id="0" name="image133.png"/>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57150</xdr:colOff>
      <xdr:row>34</xdr:row>
      <xdr:rowOff>19050</xdr:rowOff>
    </xdr:from>
    <xdr:ext cx="1590675" cy="438150"/>
    <xdr:pic>
      <xdr:nvPicPr>
        <xdr:cNvPr id="0" name="image128.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72</xdr:row>
      <xdr:rowOff>171450</xdr:rowOff>
    </xdr:from>
    <xdr:ext cx="4114800" cy="1552575"/>
    <xdr:pic>
      <xdr:nvPicPr>
        <xdr:cNvPr id="0" name="image141.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9525</xdr:colOff>
      <xdr:row>84</xdr:row>
      <xdr:rowOff>57150</xdr:rowOff>
    </xdr:from>
    <xdr:ext cx="4038600" cy="1704975"/>
    <xdr:pic>
      <xdr:nvPicPr>
        <xdr:cNvPr id="0" name="image134.pn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12</xdr:col>
      <xdr:colOff>0</xdr:colOff>
      <xdr:row>21</xdr:row>
      <xdr:rowOff>76200</xdr:rowOff>
    </xdr:from>
    <xdr:ext cx="95250" cy="1295400"/>
    <xdr:grpSp>
      <xdr:nvGrpSpPr>
        <xdr:cNvPr id="2" name="Shape 2"/>
        <xdr:cNvGrpSpPr/>
      </xdr:nvGrpSpPr>
      <xdr:grpSpPr>
        <a:xfrm>
          <a:off x="4703063" y="3741900"/>
          <a:ext cx="1285875" cy="76200"/>
          <a:chOff x="4703063" y="3741900"/>
          <a:chExt cx="1285875" cy="76200"/>
        </a:xfrm>
      </xdr:grpSpPr>
      <xdr:cxnSp>
        <xdr:nvCxnSpPr>
          <xdr:cNvPr id="10" name="Shape 10"/>
          <xdr:cNvCxnSpPr/>
        </xdr:nvCxnSpPr>
        <xdr:spPr>
          <a:xfrm flipH="1" rot="-5400000">
            <a:off x="4703063" y="3741900"/>
            <a:ext cx="1285875" cy="76200"/>
          </a:xfrm>
          <a:prstGeom prst="curvedConnector3">
            <a:avLst>
              <a:gd fmla="val -292" name="adj1"/>
            </a:avLst>
          </a:prstGeom>
          <a:noFill/>
          <a:ln cap="flat" cmpd="sng" w="12700">
            <a:solidFill>
              <a:schemeClr val="dk1"/>
            </a:solidFill>
            <a:prstDash val="solid"/>
            <a:miter lim="800000"/>
            <a:headEnd len="sm" w="sm" type="none"/>
            <a:tailEnd len="med" w="med" type="triangle"/>
          </a:ln>
        </xdr:spPr>
      </xdr:cxnSp>
    </xdr:grpSp>
    <xdr:clientData fLocksWithSheet="0"/>
  </xdr:oneCellAnchor>
  <xdr:oneCellAnchor>
    <xdr:from>
      <xdr:col>0</xdr:col>
      <xdr:colOff>0</xdr:colOff>
      <xdr:row>59</xdr:row>
      <xdr:rowOff>152400</xdr:rowOff>
    </xdr:from>
    <xdr:ext cx="7839075" cy="3781425"/>
    <xdr:pic>
      <xdr:nvPicPr>
        <xdr:cNvPr id="0" name="image148.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276225</xdr:colOff>
      <xdr:row>37</xdr:row>
      <xdr:rowOff>152400</xdr:rowOff>
    </xdr:from>
    <xdr:ext cx="1333500" cy="714375"/>
    <xdr:grpSp>
      <xdr:nvGrpSpPr>
        <xdr:cNvPr id="2" name="Shape 2"/>
        <xdr:cNvGrpSpPr/>
      </xdr:nvGrpSpPr>
      <xdr:grpSpPr>
        <a:xfrm>
          <a:off x="4684013" y="3432338"/>
          <a:ext cx="1323975" cy="695325"/>
          <a:chOff x="4684013" y="3432338"/>
          <a:chExt cx="1323975" cy="695325"/>
        </a:xfrm>
      </xdr:grpSpPr>
      <xdr:cxnSp>
        <xdr:nvCxnSpPr>
          <xdr:cNvPr id="11" name="Shape 11"/>
          <xdr:cNvCxnSpPr/>
        </xdr:nvCxnSpPr>
        <xdr:spPr>
          <a:xfrm flipH="1">
            <a:off x="4684013" y="3432338"/>
            <a:ext cx="1323975" cy="695325"/>
          </a:xfrm>
          <a:prstGeom prst="straightConnector1">
            <a:avLst/>
          </a:prstGeom>
          <a:noFill/>
          <a:ln cap="flat" cmpd="sng" w="12700">
            <a:solidFill>
              <a:schemeClr val="dk1"/>
            </a:solidFill>
            <a:prstDash val="solid"/>
            <a:miter lim="800000"/>
            <a:headEnd len="sm" w="sm" type="none"/>
            <a:tailEnd len="med" w="med" type="triangle"/>
          </a:ln>
        </xdr:spPr>
      </xdr:cxnSp>
    </xdr:grpSp>
    <xdr:clientData fLocksWithSheet="0"/>
  </xdr:oneCellAnchor>
  <xdr:oneCellAnchor>
    <xdr:from>
      <xdr:col>5</xdr:col>
      <xdr:colOff>790575</xdr:colOff>
      <xdr:row>29</xdr:row>
      <xdr:rowOff>0</xdr:rowOff>
    </xdr:from>
    <xdr:ext cx="1552575" cy="561975"/>
    <xdr:pic>
      <xdr:nvPicPr>
        <xdr:cNvPr id="0" name="image145.png"/>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85725</xdr:colOff>
      <xdr:row>46</xdr:row>
      <xdr:rowOff>47625</xdr:rowOff>
    </xdr:from>
    <xdr:ext cx="2571750" cy="533400"/>
    <xdr:pic>
      <xdr:nvPicPr>
        <xdr:cNvPr id="0" name="image147.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400050</xdr:colOff>
      <xdr:row>6</xdr:row>
      <xdr:rowOff>47625</xdr:rowOff>
    </xdr:from>
    <xdr:ext cx="5591175" cy="2714625"/>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38100</xdr:colOff>
      <xdr:row>33</xdr:row>
      <xdr:rowOff>9525</xdr:rowOff>
    </xdr:from>
    <xdr:ext cx="5686425" cy="2790825"/>
    <xdr:pic>
      <xdr:nvPicPr>
        <xdr:cNvPr id="0" name="image31.png"/>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685800</xdr:colOff>
      <xdr:row>33</xdr:row>
      <xdr:rowOff>9525</xdr:rowOff>
    </xdr:from>
    <xdr:ext cx="2495550" cy="1000125"/>
    <xdr:pic>
      <xdr:nvPicPr>
        <xdr:cNvPr id="0" name="image19.png"/>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752475</xdr:colOff>
      <xdr:row>41</xdr:row>
      <xdr:rowOff>76200</xdr:rowOff>
    </xdr:from>
    <xdr:ext cx="2438400" cy="1019175"/>
    <xdr:pic>
      <xdr:nvPicPr>
        <xdr:cNvPr id="0" name="image17.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9525</xdr:colOff>
      <xdr:row>88</xdr:row>
      <xdr:rowOff>0</xdr:rowOff>
    </xdr:from>
    <xdr:ext cx="5248275" cy="250507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333375</xdr:colOff>
      <xdr:row>79</xdr:row>
      <xdr:rowOff>9525</xdr:rowOff>
    </xdr:from>
    <xdr:ext cx="2543175" cy="1085850"/>
    <xdr:pic>
      <xdr:nvPicPr>
        <xdr:cNvPr id="0" name="image12.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138</xdr:row>
      <xdr:rowOff>9525</xdr:rowOff>
    </xdr:from>
    <xdr:ext cx="5248275" cy="2505075"/>
    <xdr:pic>
      <xdr:nvPicPr>
        <xdr:cNvPr id="0" name="image4.png"/>
        <xdr:cNvPicPr preferRelativeResize="0"/>
      </xdr:nvPicPr>
      <xdr:blipFill>
        <a:blip cstate="print" r:embed="rId5"/>
        <a:stretch>
          <a:fillRect/>
        </a:stretch>
      </xdr:blipFill>
      <xdr:spPr>
        <a:prstGeom prst="rect">
          <a:avLst/>
        </a:prstGeom>
        <a:noFill/>
      </xdr:spPr>
    </xdr:pic>
    <xdr:clientData fLocksWithSheet="0"/>
  </xdr:oneCellAnchor>
  <xdr:oneCellAnchor>
    <xdr:from>
      <xdr:col>3</xdr:col>
      <xdr:colOff>9525</xdr:colOff>
      <xdr:row>132</xdr:row>
      <xdr:rowOff>85725</xdr:rowOff>
    </xdr:from>
    <xdr:ext cx="2362200" cy="942975"/>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114300</xdr:colOff>
      <xdr:row>161</xdr:row>
      <xdr:rowOff>142875</xdr:rowOff>
    </xdr:from>
    <xdr:ext cx="5972175" cy="2524125"/>
    <xdr:pic>
      <xdr:nvPicPr>
        <xdr:cNvPr id="0" name="image6.png"/>
        <xdr:cNvPicPr preferRelativeResize="0"/>
      </xdr:nvPicPr>
      <xdr:blipFill>
        <a:blip cstate="print" r:embed="rId8"/>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369</xdr:row>
      <xdr:rowOff>133350</xdr:rowOff>
    </xdr:from>
    <xdr:ext cx="3590925" cy="419100"/>
    <xdr:pic>
      <xdr:nvPicPr>
        <xdr:cNvPr id="0" name="image16.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9525</xdr:colOff>
      <xdr:row>28</xdr:row>
      <xdr:rowOff>66675</xdr:rowOff>
    </xdr:from>
    <xdr:ext cx="1695450" cy="790575"/>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42</xdr:row>
      <xdr:rowOff>0</xdr:rowOff>
    </xdr:from>
    <xdr:ext cx="3838575" cy="2981325"/>
    <xdr:pic>
      <xdr:nvPicPr>
        <xdr:cNvPr id="0" name="image8.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57150</xdr:colOff>
      <xdr:row>91</xdr:row>
      <xdr:rowOff>114300</xdr:rowOff>
    </xdr:from>
    <xdr:ext cx="2409825" cy="695325"/>
    <xdr:pic>
      <xdr:nvPicPr>
        <xdr:cNvPr id="0" name="image28.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114300</xdr:colOff>
      <xdr:row>97</xdr:row>
      <xdr:rowOff>104775</xdr:rowOff>
    </xdr:from>
    <xdr:ext cx="2400300" cy="1466850"/>
    <xdr:pic>
      <xdr:nvPicPr>
        <xdr:cNvPr id="0" name="image10.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125</xdr:row>
      <xdr:rowOff>85725</xdr:rowOff>
    </xdr:from>
    <xdr:ext cx="2619375" cy="1562100"/>
    <xdr:pic>
      <xdr:nvPicPr>
        <xdr:cNvPr id="0" name="image18.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172</xdr:row>
      <xdr:rowOff>171450</xdr:rowOff>
    </xdr:from>
    <xdr:ext cx="1495425" cy="723900"/>
    <xdr:pic>
      <xdr:nvPicPr>
        <xdr:cNvPr id="0" name="image7.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209550</xdr:colOff>
      <xdr:row>180</xdr:row>
      <xdr:rowOff>76200</xdr:rowOff>
    </xdr:from>
    <xdr:ext cx="3238500" cy="2343150"/>
    <xdr:pic>
      <xdr:nvPicPr>
        <xdr:cNvPr id="0" name="image3.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222</xdr:row>
      <xdr:rowOff>0</xdr:rowOff>
    </xdr:from>
    <xdr:ext cx="5219700" cy="2276475"/>
    <xdr:pic>
      <xdr:nvPicPr>
        <xdr:cNvPr id="0" name="image14.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228600</xdr:colOff>
      <xdr:row>236</xdr:row>
      <xdr:rowOff>142875</xdr:rowOff>
    </xdr:from>
    <xdr:ext cx="3409950" cy="2371725"/>
    <xdr:pic>
      <xdr:nvPicPr>
        <xdr:cNvPr id="0" name="image9.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319</xdr:row>
      <xdr:rowOff>152400</xdr:rowOff>
    </xdr:from>
    <xdr:ext cx="1152525" cy="809625"/>
    <xdr:pic>
      <xdr:nvPicPr>
        <xdr:cNvPr id="0" name="image2.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314325</xdr:colOff>
      <xdr:row>327</xdr:row>
      <xdr:rowOff>38100</xdr:rowOff>
    </xdr:from>
    <xdr:ext cx="2667000" cy="2000250"/>
    <xdr:pic>
      <xdr:nvPicPr>
        <xdr:cNvPr id="0" name="image35.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354</xdr:row>
      <xdr:rowOff>0</xdr:rowOff>
    </xdr:from>
    <xdr:ext cx="4086225" cy="2400300"/>
    <xdr:pic>
      <xdr:nvPicPr>
        <xdr:cNvPr id="0" name="image21.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28575</xdr:colOff>
      <xdr:row>367</xdr:row>
      <xdr:rowOff>133350</xdr:rowOff>
    </xdr:from>
    <xdr:ext cx="3219450" cy="400050"/>
    <xdr:pic>
      <xdr:nvPicPr>
        <xdr:cNvPr id="0" name="image24.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433</xdr:row>
      <xdr:rowOff>0</xdr:rowOff>
    </xdr:from>
    <xdr:ext cx="3990975" cy="2133600"/>
    <xdr:pic>
      <xdr:nvPicPr>
        <xdr:cNvPr id="0" name="image25.pn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444</xdr:row>
      <xdr:rowOff>171450</xdr:rowOff>
    </xdr:from>
    <xdr:ext cx="4591050" cy="1266825"/>
    <xdr:pic>
      <xdr:nvPicPr>
        <xdr:cNvPr id="0" name="image51.png"/>
        <xdr:cNvPicPr preferRelativeResize="0"/>
      </xdr:nvPicPr>
      <xdr:blipFill>
        <a:blip cstate="print" r:embed="rId16"/>
        <a:stretch>
          <a:fillRect/>
        </a:stretch>
      </xdr:blipFill>
      <xdr:spPr>
        <a:prstGeom prst="rect">
          <a:avLst/>
        </a:prstGeom>
        <a:noFill/>
      </xdr:spPr>
    </xdr:pic>
    <xdr:clientData fLocksWithSheet="0"/>
  </xdr:oneCellAnchor>
  <xdr:oneCellAnchor>
    <xdr:from>
      <xdr:col>0</xdr:col>
      <xdr:colOff>0</xdr:colOff>
      <xdr:row>452</xdr:row>
      <xdr:rowOff>0</xdr:rowOff>
    </xdr:from>
    <xdr:ext cx="2438400" cy="1628775"/>
    <xdr:pic>
      <xdr:nvPicPr>
        <xdr:cNvPr id="0" name="image30.pn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460</xdr:row>
      <xdr:rowOff>152400</xdr:rowOff>
    </xdr:from>
    <xdr:ext cx="2924175" cy="466725"/>
    <xdr:pic>
      <xdr:nvPicPr>
        <xdr:cNvPr id="0" name="image38.png"/>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464</xdr:row>
      <xdr:rowOff>0</xdr:rowOff>
    </xdr:from>
    <xdr:ext cx="6505575" cy="361950"/>
    <xdr:pic>
      <xdr:nvPicPr>
        <xdr:cNvPr id="0" name="image41.png"/>
        <xdr:cNvPicPr preferRelativeResize="0"/>
      </xdr:nvPicPr>
      <xdr:blipFill>
        <a:blip cstate="print" r:embed="rId19"/>
        <a:stretch>
          <a:fillRect/>
        </a:stretch>
      </xdr:blipFill>
      <xdr:spPr>
        <a:prstGeom prst="rect">
          <a:avLst/>
        </a:prstGeom>
        <a:noFill/>
      </xdr:spPr>
    </xdr:pic>
    <xdr:clientData fLocksWithSheet="0"/>
  </xdr:oneCellAnchor>
  <xdr:oneCellAnchor>
    <xdr:from>
      <xdr:col>0</xdr:col>
      <xdr:colOff>76200</xdr:colOff>
      <xdr:row>399</xdr:row>
      <xdr:rowOff>114300</xdr:rowOff>
    </xdr:from>
    <xdr:ext cx="5486400" cy="542925"/>
    <xdr:pic>
      <xdr:nvPicPr>
        <xdr:cNvPr id="0" name="image37.png"/>
        <xdr:cNvPicPr preferRelativeResize="0"/>
      </xdr:nvPicPr>
      <xdr:blipFill>
        <a:blip cstate="print" r:embed="rId20"/>
        <a:stretch>
          <a:fillRect/>
        </a:stretch>
      </xdr:blipFill>
      <xdr:spPr>
        <a:prstGeom prst="rect">
          <a:avLst/>
        </a:prstGeom>
        <a:noFill/>
      </xdr:spPr>
    </xdr:pic>
    <xdr:clientData fLocksWithSheet="0"/>
  </xdr:oneCellAnchor>
  <xdr:oneCellAnchor>
    <xdr:from>
      <xdr:col>3</xdr:col>
      <xdr:colOff>133350</xdr:colOff>
      <xdr:row>415</xdr:row>
      <xdr:rowOff>123825</xdr:rowOff>
    </xdr:from>
    <xdr:ext cx="3457575" cy="2457450"/>
    <xdr:pic>
      <xdr:nvPicPr>
        <xdr:cNvPr id="0" name="image29.png"/>
        <xdr:cNvPicPr preferRelativeResize="0"/>
      </xdr:nvPicPr>
      <xdr:blipFill>
        <a:blip cstate="print" r:embed="rId2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3</xdr:row>
      <xdr:rowOff>85725</xdr:rowOff>
    </xdr:from>
    <xdr:ext cx="5038725" cy="1466850"/>
    <xdr:pic>
      <xdr:nvPicPr>
        <xdr:cNvPr id="0" name="image47.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26</xdr:row>
      <xdr:rowOff>0</xdr:rowOff>
    </xdr:from>
    <xdr:ext cx="5038725" cy="1171575"/>
    <xdr:pic>
      <xdr:nvPicPr>
        <xdr:cNvPr id="0" name="image26.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38</xdr:row>
      <xdr:rowOff>152400</xdr:rowOff>
    </xdr:from>
    <xdr:ext cx="2124075" cy="1676400"/>
    <xdr:pic>
      <xdr:nvPicPr>
        <xdr:cNvPr id="0" name="image22.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73</xdr:row>
      <xdr:rowOff>0</xdr:rowOff>
    </xdr:from>
    <xdr:ext cx="3886200" cy="952500"/>
    <xdr:pic>
      <xdr:nvPicPr>
        <xdr:cNvPr id="0" name="image27.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81</xdr:row>
      <xdr:rowOff>0</xdr:rowOff>
    </xdr:from>
    <xdr:ext cx="2314575" cy="1743075"/>
    <xdr:pic>
      <xdr:nvPicPr>
        <xdr:cNvPr id="0" name="image33.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99</xdr:row>
      <xdr:rowOff>0</xdr:rowOff>
    </xdr:from>
    <xdr:ext cx="1876425" cy="1171575"/>
    <xdr:pic>
      <xdr:nvPicPr>
        <xdr:cNvPr id="0" name="image50.png"/>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122</xdr:row>
      <xdr:rowOff>0</xdr:rowOff>
    </xdr:from>
    <xdr:ext cx="2819400" cy="523875"/>
    <xdr:pic>
      <xdr:nvPicPr>
        <xdr:cNvPr id="0" name="image39.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0</xdr:colOff>
      <xdr:row>125</xdr:row>
      <xdr:rowOff>0</xdr:rowOff>
    </xdr:from>
    <xdr:ext cx="4067175" cy="1000125"/>
    <xdr:pic>
      <xdr:nvPicPr>
        <xdr:cNvPr id="0" name="image46.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144</xdr:row>
      <xdr:rowOff>0</xdr:rowOff>
    </xdr:from>
    <xdr:ext cx="2952750" cy="571500"/>
    <xdr:pic>
      <xdr:nvPicPr>
        <xdr:cNvPr id="0" name="image44.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151</xdr:row>
      <xdr:rowOff>0</xdr:rowOff>
    </xdr:from>
    <xdr:ext cx="5400675" cy="1952625"/>
    <xdr:pic>
      <xdr:nvPicPr>
        <xdr:cNvPr id="0" name="image36.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170</xdr:row>
      <xdr:rowOff>0</xdr:rowOff>
    </xdr:from>
    <xdr:ext cx="3962400" cy="1524000"/>
    <xdr:pic>
      <xdr:nvPicPr>
        <xdr:cNvPr id="0" name="image32.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179</xdr:row>
      <xdr:rowOff>152400</xdr:rowOff>
    </xdr:from>
    <xdr:ext cx="4324350" cy="2762250"/>
    <xdr:pic>
      <xdr:nvPicPr>
        <xdr:cNvPr id="0" name="image45.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95250</xdr:colOff>
      <xdr:row>217</xdr:row>
      <xdr:rowOff>142875</xdr:rowOff>
    </xdr:from>
    <xdr:ext cx="5753100" cy="2076450"/>
    <xdr:pic>
      <xdr:nvPicPr>
        <xdr:cNvPr id="0" name="image40.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230</xdr:row>
      <xdr:rowOff>0</xdr:rowOff>
    </xdr:from>
    <xdr:ext cx="3886200" cy="2514600"/>
    <xdr:pic>
      <xdr:nvPicPr>
        <xdr:cNvPr id="0" name="image49.png"/>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5810250" cy="1209675"/>
    <xdr:pic>
      <xdr:nvPicPr>
        <xdr:cNvPr id="0" name="image43.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9525</xdr:colOff>
      <xdr:row>26</xdr:row>
      <xdr:rowOff>19050</xdr:rowOff>
    </xdr:from>
    <xdr:ext cx="3943350" cy="885825"/>
    <xdr:pic>
      <xdr:nvPicPr>
        <xdr:cNvPr id="0" name="image55.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34</xdr:row>
      <xdr:rowOff>9525</xdr:rowOff>
    </xdr:from>
    <xdr:ext cx="1381125" cy="600075"/>
    <xdr:pic>
      <xdr:nvPicPr>
        <xdr:cNvPr id="0" name="image34.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39</xdr:row>
      <xdr:rowOff>0</xdr:rowOff>
    </xdr:from>
    <xdr:ext cx="3486150" cy="2152650"/>
    <xdr:pic>
      <xdr:nvPicPr>
        <xdr:cNvPr id="0" name="image54.png"/>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95250</xdr:colOff>
      <xdr:row>41</xdr:row>
      <xdr:rowOff>161925</xdr:rowOff>
    </xdr:from>
    <xdr:ext cx="1200150" cy="400050"/>
    <xdr:pic>
      <xdr:nvPicPr>
        <xdr:cNvPr id="0" name="image48.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285750</xdr:colOff>
      <xdr:row>78</xdr:row>
      <xdr:rowOff>28575</xdr:rowOff>
    </xdr:from>
    <xdr:ext cx="3914775" cy="2219325"/>
    <xdr:pic>
      <xdr:nvPicPr>
        <xdr:cNvPr id="0" name="image42.png"/>
        <xdr:cNvPicPr preferRelativeResize="0"/>
      </xdr:nvPicPr>
      <xdr:blipFill>
        <a:blip cstate="print" r:embed="rId6"/>
        <a:stretch>
          <a:fillRect/>
        </a:stretch>
      </xdr:blipFill>
      <xdr:spPr>
        <a:prstGeom prst="rect">
          <a:avLst/>
        </a:prstGeom>
        <a:noFill/>
      </xdr:spPr>
    </xdr:pic>
    <xdr:clientData fLocksWithSheet="0"/>
  </xdr:oneCellAnchor>
  <xdr:oneCellAnchor>
    <xdr:from>
      <xdr:col>5</xdr:col>
      <xdr:colOff>361950</xdr:colOff>
      <xdr:row>58</xdr:row>
      <xdr:rowOff>76200</xdr:rowOff>
    </xdr:from>
    <xdr:ext cx="2428875" cy="1352550"/>
    <xdr:pic>
      <xdr:nvPicPr>
        <xdr:cNvPr id="0" name="image59.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57150</xdr:colOff>
      <xdr:row>100</xdr:row>
      <xdr:rowOff>57150</xdr:rowOff>
    </xdr:from>
    <xdr:ext cx="4124325" cy="3619500"/>
    <xdr:pic>
      <xdr:nvPicPr>
        <xdr:cNvPr id="0" name="image72.png"/>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0</xdr:colOff>
      <xdr:row>126</xdr:row>
      <xdr:rowOff>85725</xdr:rowOff>
    </xdr:from>
    <xdr:ext cx="6819900" cy="2181225"/>
    <xdr:pic>
      <xdr:nvPicPr>
        <xdr:cNvPr id="0" name="image56.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147</xdr:row>
      <xdr:rowOff>66675</xdr:rowOff>
    </xdr:from>
    <xdr:ext cx="3467100" cy="695325"/>
    <xdr:pic>
      <xdr:nvPicPr>
        <xdr:cNvPr id="0" name="image71.png"/>
        <xdr:cNvPicPr preferRelativeResize="0"/>
      </xdr:nvPicPr>
      <xdr:blipFill>
        <a:blip cstate="print" r:embed="rId10"/>
        <a:stretch>
          <a:fillRect/>
        </a:stretch>
      </xdr:blipFill>
      <xdr:spPr>
        <a:prstGeom prst="rect">
          <a:avLst/>
        </a:prstGeom>
        <a:noFill/>
      </xdr:spPr>
    </xdr:pic>
    <xdr:clientData fLocksWithSheet="0"/>
  </xdr:oneCellAnchor>
  <xdr:oneCellAnchor>
    <xdr:from>
      <xdr:col>9</xdr:col>
      <xdr:colOff>552450</xdr:colOff>
      <xdr:row>146</xdr:row>
      <xdr:rowOff>104775</xdr:rowOff>
    </xdr:from>
    <xdr:ext cx="5229225" cy="1009650"/>
    <xdr:pic>
      <xdr:nvPicPr>
        <xdr:cNvPr id="0" name="image52.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156</xdr:row>
      <xdr:rowOff>85725</xdr:rowOff>
    </xdr:from>
    <xdr:ext cx="1685925" cy="438150"/>
    <xdr:pic>
      <xdr:nvPicPr>
        <xdr:cNvPr id="0" name="image69.png"/>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38100</xdr:colOff>
      <xdr:row>156</xdr:row>
      <xdr:rowOff>95250</xdr:rowOff>
    </xdr:from>
    <xdr:ext cx="1514475" cy="457200"/>
    <xdr:pic>
      <xdr:nvPicPr>
        <xdr:cNvPr id="0" name="image58.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165</xdr:row>
      <xdr:rowOff>85725</xdr:rowOff>
    </xdr:from>
    <xdr:ext cx="2162175" cy="847725"/>
    <xdr:pic>
      <xdr:nvPicPr>
        <xdr:cNvPr id="0" name="image62.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9525</xdr:colOff>
      <xdr:row>174</xdr:row>
      <xdr:rowOff>161925</xdr:rowOff>
    </xdr:from>
    <xdr:ext cx="2324100" cy="552450"/>
    <xdr:pic>
      <xdr:nvPicPr>
        <xdr:cNvPr id="0" name="image87.png"/>
        <xdr:cNvPicPr preferRelativeResize="0"/>
      </xdr:nvPicPr>
      <xdr:blipFill>
        <a:blip cstate="print" r:embed="rId15"/>
        <a:stretch>
          <a:fillRect/>
        </a:stretch>
      </xdr:blipFill>
      <xdr:spPr>
        <a:prstGeom prst="rect">
          <a:avLst/>
        </a:prstGeom>
        <a:noFill/>
      </xdr:spPr>
    </xdr:pic>
    <xdr:clientData fLocksWithSheet="0"/>
  </xdr:oneCellAnchor>
  <xdr:oneCellAnchor>
    <xdr:from>
      <xdr:col>6</xdr:col>
      <xdr:colOff>95250</xdr:colOff>
      <xdr:row>70</xdr:row>
      <xdr:rowOff>161925</xdr:rowOff>
    </xdr:from>
    <xdr:ext cx="1285875" cy="400050"/>
    <xdr:pic>
      <xdr:nvPicPr>
        <xdr:cNvPr id="0" name="image48.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829550" cy="2695575"/>
    <xdr:pic>
      <xdr:nvPicPr>
        <xdr:cNvPr id="0" name="image63.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9525</xdr:colOff>
      <xdr:row>18</xdr:row>
      <xdr:rowOff>9525</xdr:rowOff>
    </xdr:from>
    <xdr:ext cx="6486525" cy="561975"/>
    <xdr:pic>
      <xdr:nvPicPr>
        <xdr:cNvPr id="0" name="image53.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50</xdr:row>
      <xdr:rowOff>76200</xdr:rowOff>
    </xdr:from>
    <xdr:ext cx="5514975" cy="2562225"/>
    <xdr:pic>
      <xdr:nvPicPr>
        <xdr:cNvPr id="0" name="image60.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98</xdr:row>
      <xdr:rowOff>0</xdr:rowOff>
    </xdr:from>
    <xdr:ext cx="4676775" cy="819150"/>
    <xdr:pic>
      <xdr:nvPicPr>
        <xdr:cNvPr id="0" name="image66.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103</xdr:row>
      <xdr:rowOff>0</xdr:rowOff>
    </xdr:from>
    <xdr:ext cx="6305550" cy="342900"/>
    <xdr:pic>
      <xdr:nvPicPr>
        <xdr:cNvPr id="0" name="image68.png"/>
        <xdr:cNvPicPr preferRelativeResize="0"/>
      </xdr:nvPicPr>
      <xdr:blipFill>
        <a:blip cstate="print" r:embed="rId5"/>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22</xdr:row>
      <xdr:rowOff>76200</xdr:rowOff>
    </xdr:from>
    <xdr:ext cx="1524000" cy="1247775"/>
    <xdr:pic>
      <xdr:nvPicPr>
        <xdr:cNvPr id="0" name="image65.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28575</xdr:colOff>
      <xdr:row>35</xdr:row>
      <xdr:rowOff>38100</xdr:rowOff>
    </xdr:from>
    <xdr:ext cx="2743200" cy="742950"/>
    <xdr:pic>
      <xdr:nvPicPr>
        <xdr:cNvPr id="0" name="image64.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39</xdr:row>
      <xdr:rowOff>76200</xdr:rowOff>
    </xdr:from>
    <xdr:ext cx="3971925" cy="657225"/>
    <xdr:pic>
      <xdr:nvPicPr>
        <xdr:cNvPr id="0" name="image61.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66675</xdr:colOff>
      <xdr:row>46</xdr:row>
      <xdr:rowOff>133350</xdr:rowOff>
    </xdr:from>
    <xdr:ext cx="3495675" cy="2324100"/>
    <xdr:pic>
      <xdr:nvPicPr>
        <xdr:cNvPr id="0" name="image57.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65</xdr:row>
      <xdr:rowOff>47625</xdr:rowOff>
    </xdr:from>
    <xdr:ext cx="3990975" cy="523875"/>
    <xdr:pic>
      <xdr:nvPicPr>
        <xdr:cNvPr id="0" name="image76.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38100</xdr:colOff>
      <xdr:row>92</xdr:row>
      <xdr:rowOff>38100</xdr:rowOff>
    </xdr:from>
    <xdr:ext cx="7762875" cy="1495425"/>
    <xdr:pic>
      <xdr:nvPicPr>
        <xdr:cNvPr id="0" name="image74.png"/>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295275</xdr:colOff>
      <xdr:row>101</xdr:row>
      <xdr:rowOff>38100</xdr:rowOff>
    </xdr:from>
    <xdr:ext cx="1809750" cy="428625"/>
    <xdr:pic>
      <xdr:nvPicPr>
        <xdr:cNvPr id="0" name="image73.png"/>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390525</xdr:colOff>
      <xdr:row>103</xdr:row>
      <xdr:rowOff>114300</xdr:rowOff>
    </xdr:from>
    <xdr:ext cx="3857625" cy="771525"/>
    <xdr:pic>
      <xdr:nvPicPr>
        <xdr:cNvPr id="0" name="image67.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115</xdr:row>
      <xdr:rowOff>0</xdr:rowOff>
    </xdr:from>
    <xdr:ext cx="3857625" cy="1495425"/>
    <xdr:pic>
      <xdr:nvPicPr>
        <xdr:cNvPr id="0" name="image88.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124</xdr:row>
      <xdr:rowOff>0</xdr:rowOff>
    </xdr:from>
    <xdr:ext cx="3457575" cy="1085850"/>
    <xdr:pic>
      <xdr:nvPicPr>
        <xdr:cNvPr id="0" name="image84.png"/>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190500</xdr:colOff>
      <xdr:row>116</xdr:row>
      <xdr:rowOff>114300</xdr:rowOff>
    </xdr:from>
    <xdr:ext cx="2914650" cy="1952625"/>
    <xdr:pic>
      <xdr:nvPicPr>
        <xdr:cNvPr id="0" name="image91.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170</xdr:row>
      <xdr:rowOff>0</xdr:rowOff>
    </xdr:from>
    <xdr:ext cx="8181975" cy="1438275"/>
    <xdr:pic>
      <xdr:nvPicPr>
        <xdr:cNvPr id="0" name="image70.png"/>
        <xdr:cNvPicPr preferRelativeResize="0"/>
      </xdr:nvPicPr>
      <xdr:blipFill>
        <a:blip cstate="print" r:embed="rId12"/>
        <a:stretch>
          <a:fillRect/>
        </a:stretch>
      </xdr:blipFill>
      <xdr:spPr>
        <a:prstGeom prst="rect">
          <a:avLst/>
        </a:prstGeom>
        <a:noFill/>
      </xdr:spPr>
    </xdr:pic>
    <xdr:clientData fLocksWithSheet="0"/>
  </xdr:oneCellAnchor>
  <xdr:oneCellAnchor>
    <xdr:from>
      <xdr:col>5</xdr:col>
      <xdr:colOff>238125</xdr:colOff>
      <xdr:row>179</xdr:row>
      <xdr:rowOff>85725</xdr:rowOff>
    </xdr:from>
    <xdr:ext cx="6248400" cy="1990725"/>
    <xdr:pic>
      <xdr:nvPicPr>
        <xdr:cNvPr id="0" name="image77.png"/>
        <xdr:cNvPicPr preferRelativeResize="0"/>
      </xdr:nvPicPr>
      <xdr:blipFill>
        <a:blip cstate="print" r:embed="rId13"/>
        <a:stretch>
          <a:fillRect/>
        </a:stretch>
      </xdr:blipFill>
      <xdr:spPr>
        <a:prstGeom prst="rect">
          <a:avLst/>
        </a:prstGeom>
        <a:noFill/>
      </xdr:spPr>
    </xdr:pic>
    <xdr:clientData fLocksWithSheet="0"/>
  </xdr:oneCellAnchor>
  <xdr:oneCellAnchor>
    <xdr:from>
      <xdr:col>5</xdr:col>
      <xdr:colOff>762000</xdr:colOff>
      <xdr:row>191</xdr:row>
      <xdr:rowOff>47625</xdr:rowOff>
    </xdr:from>
    <xdr:ext cx="6543675" cy="3438525"/>
    <xdr:pic>
      <xdr:nvPicPr>
        <xdr:cNvPr id="0" name="image93.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0</xdr:colOff>
      <xdr:row>187</xdr:row>
      <xdr:rowOff>95250</xdr:rowOff>
    </xdr:from>
    <xdr:ext cx="2838450" cy="1800225"/>
    <xdr:pic>
      <xdr:nvPicPr>
        <xdr:cNvPr id="0" name="image102.pn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0</xdr:colOff>
      <xdr:row>235</xdr:row>
      <xdr:rowOff>0</xdr:rowOff>
    </xdr:from>
    <xdr:ext cx="9439275" cy="1352550"/>
    <xdr:pic>
      <xdr:nvPicPr>
        <xdr:cNvPr id="0" name="image79.png"/>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466725</xdr:colOff>
      <xdr:row>244</xdr:row>
      <xdr:rowOff>57150</xdr:rowOff>
    </xdr:from>
    <xdr:ext cx="1943100" cy="790575"/>
    <xdr:pic>
      <xdr:nvPicPr>
        <xdr:cNvPr id="0" name="image83.png"/>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249</xdr:row>
      <xdr:rowOff>28575</xdr:rowOff>
    </xdr:from>
    <xdr:ext cx="9029700" cy="3124200"/>
    <xdr:pic>
      <xdr:nvPicPr>
        <xdr:cNvPr id="0" name="image75.png"/>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723900</xdr:colOff>
      <xdr:row>22</xdr:row>
      <xdr:rowOff>66675</xdr:rowOff>
    </xdr:from>
    <xdr:ext cx="923925" cy="847725"/>
    <xdr:pic>
      <xdr:nvPicPr>
        <xdr:cNvPr id="0" name="image92.pn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0</xdr:colOff>
      <xdr:row>27</xdr:row>
      <xdr:rowOff>76200</xdr:rowOff>
    </xdr:from>
    <xdr:ext cx="3667125" cy="2400300"/>
    <xdr:pic>
      <xdr:nvPicPr>
        <xdr:cNvPr id="0" name="image81.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43</xdr:row>
      <xdr:rowOff>0</xdr:rowOff>
    </xdr:from>
    <xdr:ext cx="6248400" cy="742950"/>
    <xdr:pic>
      <xdr:nvPicPr>
        <xdr:cNvPr id="0" name="image122.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523875</xdr:colOff>
      <xdr:row>51</xdr:row>
      <xdr:rowOff>47625</xdr:rowOff>
    </xdr:from>
    <xdr:ext cx="2724150" cy="571500"/>
    <xdr:pic>
      <xdr:nvPicPr>
        <xdr:cNvPr id="0" name="image85.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57</xdr:row>
      <xdr:rowOff>0</xdr:rowOff>
    </xdr:from>
    <xdr:ext cx="4333875" cy="733425"/>
    <xdr:pic>
      <xdr:nvPicPr>
        <xdr:cNvPr id="0" name="image78.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38100</xdr:colOff>
      <xdr:row>97</xdr:row>
      <xdr:rowOff>19050</xdr:rowOff>
    </xdr:from>
    <xdr:ext cx="2714625" cy="1485900"/>
    <xdr:pic>
      <xdr:nvPicPr>
        <xdr:cNvPr id="0" name="image119.png"/>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247650</xdr:colOff>
      <xdr:row>97</xdr:row>
      <xdr:rowOff>38100</xdr:rowOff>
    </xdr:from>
    <xdr:ext cx="3400425" cy="2771775"/>
    <xdr:pic>
      <xdr:nvPicPr>
        <xdr:cNvPr id="0" name="image95.png"/>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47625</xdr:colOff>
      <xdr:row>108</xdr:row>
      <xdr:rowOff>66675</xdr:rowOff>
    </xdr:from>
    <xdr:ext cx="2676525" cy="581025"/>
    <xdr:pic>
      <xdr:nvPicPr>
        <xdr:cNvPr id="0" name="image80.png"/>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723900</xdr:colOff>
      <xdr:row>139</xdr:row>
      <xdr:rowOff>0</xdr:rowOff>
    </xdr:from>
    <xdr:ext cx="3448050" cy="647700"/>
    <xdr:pic>
      <xdr:nvPicPr>
        <xdr:cNvPr id="0" name="image96.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0</xdr:colOff>
      <xdr:row>147</xdr:row>
      <xdr:rowOff>95250</xdr:rowOff>
    </xdr:from>
    <xdr:ext cx="4295775" cy="752475"/>
    <xdr:pic>
      <xdr:nvPicPr>
        <xdr:cNvPr id="0" name="image82.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0</xdr:colOff>
      <xdr:row>159</xdr:row>
      <xdr:rowOff>9525</xdr:rowOff>
    </xdr:from>
    <xdr:ext cx="1790700" cy="590550"/>
    <xdr:pic>
      <xdr:nvPicPr>
        <xdr:cNvPr id="0" name="image86.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0</xdr:colOff>
      <xdr:row>163</xdr:row>
      <xdr:rowOff>0</xdr:rowOff>
    </xdr:from>
    <xdr:ext cx="3648075" cy="809625"/>
    <xdr:pic>
      <xdr:nvPicPr>
        <xdr:cNvPr id="0" name="image106.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168</xdr:row>
      <xdr:rowOff>0</xdr:rowOff>
    </xdr:from>
    <xdr:ext cx="1514475" cy="495300"/>
    <xdr:pic>
      <xdr:nvPicPr>
        <xdr:cNvPr id="0" name="image89.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0</xdr:colOff>
      <xdr:row>172</xdr:row>
      <xdr:rowOff>133350</xdr:rowOff>
    </xdr:from>
    <xdr:ext cx="4772025" cy="476250"/>
    <xdr:pic>
      <xdr:nvPicPr>
        <xdr:cNvPr id="0" name="image107.png"/>
        <xdr:cNvPicPr preferRelativeResize="0"/>
      </xdr:nvPicPr>
      <xdr:blipFill>
        <a:blip cstate="print" r:embed="rId14"/>
        <a:stretch>
          <a:fillRect/>
        </a:stretch>
      </xdr:blipFill>
      <xdr:spPr>
        <a:prstGeom prst="rect">
          <a:avLst/>
        </a:prstGeom>
        <a:noFill/>
      </xdr:spPr>
    </xdr:pic>
    <xdr:clientData fLocksWithSheet="0"/>
  </xdr:oneCellAnchor>
  <xdr:oneCellAnchor>
    <xdr:from>
      <xdr:col>0</xdr:col>
      <xdr:colOff>19050</xdr:colOff>
      <xdr:row>175</xdr:row>
      <xdr:rowOff>38100</xdr:rowOff>
    </xdr:from>
    <xdr:ext cx="3571875" cy="1085850"/>
    <xdr:pic>
      <xdr:nvPicPr>
        <xdr:cNvPr id="0" name="image90.png"/>
        <xdr:cNvPicPr preferRelativeResize="0"/>
      </xdr:nvPicPr>
      <xdr:blipFill>
        <a:blip cstate="print" r:embed="rId15"/>
        <a:stretch>
          <a:fillRect/>
        </a:stretch>
      </xdr:blipFill>
      <xdr:spPr>
        <a:prstGeom prst="rect">
          <a:avLst/>
        </a:prstGeom>
        <a:noFill/>
      </xdr:spPr>
    </xdr:pic>
    <xdr:clientData fLocksWithSheet="0"/>
  </xdr:oneCellAnchor>
  <xdr:oneCellAnchor>
    <xdr:from>
      <xdr:col>0</xdr:col>
      <xdr:colOff>0</xdr:colOff>
      <xdr:row>187</xdr:row>
      <xdr:rowOff>0</xdr:rowOff>
    </xdr:from>
    <xdr:ext cx="6457950" cy="2905125"/>
    <xdr:pic>
      <xdr:nvPicPr>
        <xdr:cNvPr id="0" name="image97.png"/>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0</xdr:colOff>
      <xdr:row>203</xdr:row>
      <xdr:rowOff>38100</xdr:rowOff>
    </xdr:from>
    <xdr:ext cx="2390775" cy="590550"/>
    <xdr:pic>
      <xdr:nvPicPr>
        <xdr:cNvPr id="0" name="image101.png"/>
        <xdr:cNvPicPr preferRelativeResize="0"/>
      </xdr:nvPicPr>
      <xdr:blipFill>
        <a:blip cstate="print" r:embed="rId17"/>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657225</xdr:colOff>
      <xdr:row>95</xdr:row>
      <xdr:rowOff>161925</xdr:rowOff>
    </xdr:from>
    <xdr:ext cx="3590925" cy="2114550"/>
    <xdr:graphicFrame>
      <xdr:nvGraphicFramePr>
        <xdr:cNvPr id="335123373" name="Chart 1"/>
        <xdr:cNvGraphicFramePr/>
      </xdr:nvGraphicFramePr>
      <xdr:xfrm>
        <a:off x="0" y="0"/>
        <a:ext cx="0" cy="0"/>
      </xdr:xfrm>
      <a:graphic>
        <a:graphicData uri="http://schemas.openxmlformats.org/drawingml/2006/chart">
          <c:chart r:id="rId1"/>
        </a:graphicData>
      </a:graphic>
    </xdr:graphicFrame>
    <xdr:clientData fLocksWithSheet="0"/>
  </xdr:oneCellAnchor>
  <xdr:oneCellAnchor>
    <xdr:from>
      <xdr:col>0</xdr:col>
      <xdr:colOff>0</xdr:colOff>
      <xdr:row>0</xdr:row>
      <xdr:rowOff>0</xdr:rowOff>
    </xdr:from>
    <xdr:ext cx="3409950" cy="2943225"/>
    <xdr:pic>
      <xdr:nvPicPr>
        <xdr:cNvPr id="0" name="image100.png"/>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0</xdr:colOff>
      <xdr:row>15</xdr:row>
      <xdr:rowOff>28575</xdr:rowOff>
    </xdr:from>
    <xdr:ext cx="2809875" cy="2571750"/>
    <xdr:pic>
      <xdr:nvPicPr>
        <xdr:cNvPr id="0" name="image94.png"/>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0</xdr:colOff>
      <xdr:row>36</xdr:row>
      <xdr:rowOff>0</xdr:rowOff>
    </xdr:from>
    <xdr:ext cx="5191125" cy="2667000"/>
    <xdr:pic>
      <xdr:nvPicPr>
        <xdr:cNvPr id="0" name="image98.png"/>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0</xdr:colOff>
      <xdr:row>55</xdr:row>
      <xdr:rowOff>0</xdr:rowOff>
    </xdr:from>
    <xdr:ext cx="5362575" cy="2905125"/>
    <xdr:pic>
      <xdr:nvPicPr>
        <xdr:cNvPr id="0" name="image108.png"/>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74</xdr:row>
      <xdr:rowOff>0</xdr:rowOff>
    </xdr:from>
    <xdr:ext cx="5791200" cy="3629025"/>
    <xdr:pic>
      <xdr:nvPicPr>
        <xdr:cNvPr id="0" name="image105.png"/>
        <xdr:cNvPicPr preferRelativeResize="0"/>
      </xdr:nvPicPr>
      <xdr:blipFill>
        <a:blip cstate="print" r:embed="rId6"/>
        <a:stretch>
          <a:fillRect/>
        </a:stretch>
      </xdr:blipFill>
      <xdr:spPr>
        <a:prstGeom prst="rect">
          <a:avLst/>
        </a:prstGeom>
        <a:noFill/>
      </xdr:spPr>
    </xdr:pic>
    <xdr:clientData fLocksWithSheet="0"/>
  </xdr:oneCellAnchor>
</xdr:wsDr>
</file>

<file path=xl/pivotCache/_rels/pivotCacheDefinition1.xml.rels><?xml version="1.0" encoding="UTF-8" standalone="yes"?><Relationships xmlns="http://schemas.openxmlformats.org/package/2006/relationships"><Relationship Type="http://schemas.openxmlformats.org/officeDocument/2006/relationships/externalLinkPath" TargetMode="External"/></Relationships>
</file>

<file path=xl/pivotCache/pivotCacheDefinition1.xml><?xml version="1.0" encoding="utf-8"?>
<pivotCacheDefinition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invalid="1" refreshOnLoad="1">
  <cacheSource type="worksheet">
    <worksheetSource ref="A223:C247" sheet="17-05"/>
  </cacheSource>
  <cacheFields>
    <cacheField name="id" numFmtId="0">
      <sharedItems containsSemiMixedTypes="0" containsString="0" containsNumber="1" containsInteger="1">
        <n v="446.0"/>
        <n v="474.0"/>
        <n v="443.0"/>
        <n v="450.0"/>
        <n v="452.0"/>
        <n v="459.0"/>
        <n v="462.0"/>
        <n v="463.0"/>
        <n v="466.0"/>
        <n v="447.0"/>
        <n v="451.0"/>
        <n v="454.0"/>
        <n v="455.0"/>
        <n v="458.0"/>
        <n v="461.0"/>
        <n v="469.0"/>
        <n v="472.0"/>
        <n v="473.0"/>
        <n v="444.0"/>
        <n v="448.0"/>
        <n v="449.0"/>
        <n v="460.0"/>
        <n v="465.0"/>
        <n v="470.0"/>
      </sharedItems>
    </cacheField>
    <cacheField name="indice de masa corp" numFmtId="0">
      <sharedItems>
        <s v="bajo peso(&lt;18,5)"/>
        <s v="peso normal( 18,5-24,9)"/>
        <s v="sobre peso(25 - 29,9)"/>
        <s v="obesidad(30 +)"/>
      </sharedItems>
    </cacheField>
    <cacheField name="glucosa" numFmtId="0">
      <sharedItems containsSemiMixedTypes="0" containsString="0" containsNumber="1" containsInteger="1">
        <n v="118.0"/>
        <n v="80.0"/>
        <n v="87.0"/>
        <n v="127.0"/>
        <n v="76.0"/>
        <n v="88.0"/>
        <n v="98.0"/>
        <n v="83.0"/>
        <n v="85.0"/>
        <n v="123.0"/>
        <n v="99.0"/>
        <n v="102.0"/>
        <n v="198.0"/>
        <n v="86.0"/>
        <n v="81.0"/>
        <n v="94.0"/>
        <n v="100.0"/>
        <n v="104.0"/>
        <n v="132.0"/>
        <n v="276.0"/>
        <n v="156.0"/>
        <n v="79.0"/>
      </sharedItems>
    </cacheField>
  </cacheFields>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17-05" cacheId="0" dataCaption="" compact="0" compactData="0">
  <location ref="E227:H232" firstHeaderRow="0" firstDataRow="2" firstDataCol="0"/>
  <pivotFields>
    <pivotField name="id" compact="0" outline="0" multipleItemSelectionAllowed="1" showAll="0">
      <items>
        <item x="0"/>
        <item x="1"/>
        <item x="2"/>
        <item x="3"/>
        <item x="4"/>
        <item x="5"/>
        <item x="6"/>
        <item x="7"/>
        <item x="8"/>
        <item x="9"/>
        <item x="10"/>
        <item x="11"/>
        <item x="12"/>
        <item x="13"/>
        <item x="14"/>
        <item x="15"/>
        <item x="16"/>
        <item x="17"/>
        <item x="18"/>
        <item x="19"/>
        <item x="20"/>
        <item x="21"/>
        <item x="22"/>
        <item x="23"/>
        <item t="default"/>
      </items>
    </pivotField>
    <pivotField name="indice de masa corp" axis="axisRow" compact="0" outline="0" multipleItemSelectionAllowed="1" showAll="0" sortType="ascending">
      <items>
        <item x="0"/>
        <item x="3"/>
        <item x="1"/>
        <item x="2"/>
        <item t="default"/>
      </items>
    </pivotField>
    <pivotField name="glucosa" dataField="1" compact="0" outline="0" multipleItemSelectionAllowed="1" showAll="0">
      <items>
        <item x="0"/>
        <item x="1"/>
        <item x="2"/>
        <item x="3"/>
        <item x="4"/>
        <item x="5"/>
        <item x="6"/>
        <item x="7"/>
        <item x="8"/>
        <item x="9"/>
        <item x="10"/>
        <item x="11"/>
        <item x="12"/>
        <item x="13"/>
        <item x="14"/>
        <item x="15"/>
        <item x="16"/>
        <item x="17"/>
        <item x="18"/>
        <item x="19"/>
        <item x="20"/>
        <item x="21"/>
        <item t="default"/>
      </items>
    </pivotField>
  </pivotFields>
  <rowFields>
    <field x="1"/>
  </rowFields>
  <colFields>
    <field x="-2"/>
  </colFields>
  <dataFields>
    <dataField name="Cuenta de glucosa" fld="2" subtotal="count" baseField="0"/>
    <dataField name="Promedio de glucosa2" fld="2" subtotal="average" baseField="0"/>
    <dataField name="Var de glucosa3" fld="2" subtotal="var" baseField="0"/>
  </dataFields>
</pivotTableDefinition>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1.xm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71"/>
    <col customWidth="1" min="2" max="2" width="12.0"/>
    <col customWidth="1" min="3" max="26" width="10.71"/>
  </cols>
  <sheetData>
    <row r="1" ht="14.25" customHeight="1">
      <c r="A1" s="1" t="s">
        <v>0</v>
      </c>
    </row>
    <row r="2" ht="14.25" customHeight="1">
      <c r="A2" s="1" t="s">
        <v>1</v>
      </c>
    </row>
    <row r="3" ht="14.25" customHeight="1"/>
    <row r="4" ht="14.25" customHeight="1">
      <c r="A4" s="1" t="s">
        <v>2</v>
      </c>
      <c r="K4" s="1" t="s">
        <v>3</v>
      </c>
    </row>
    <row r="5" ht="14.25" customHeight="1">
      <c r="A5" s="1" t="s">
        <v>4</v>
      </c>
    </row>
    <row r="6" ht="14.25" customHeight="1"/>
    <row r="7" ht="14.25" customHeight="1"/>
    <row r="8" ht="14.25" customHeight="1"/>
    <row r="9" ht="14.25" customHeight="1"/>
    <row r="10" ht="14.25" customHeight="1"/>
    <row r="11" ht="14.25" customHeight="1"/>
    <row r="12" ht="14.25" customHeight="1"/>
    <row r="13" ht="14.25" customHeight="1">
      <c r="A13" s="1" t="s">
        <v>5</v>
      </c>
      <c r="F13" s="2"/>
    </row>
    <row r="14" ht="14.25" customHeight="1"/>
    <row r="15" ht="14.25" customHeight="1">
      <c r="A15" s="3" t="s">
        <v>6</v>
      </c>
      <c r="B15" s="4" t="s">
        <v>7</v>
      </c>
      <c r="C15" s="4" t="s">
        <v>8</v>
      </c>
      <c r="D15" s="4" t="s">
        <v>9</v>
      </c>
      <c r="E15" s="4" t="s">
        <v>10</v>
      </c>
      <c r="F15" s="4" t="s">
        <v>11</v>
      </c>
      <c r="G15" s="5" t="s">
        <v>12</v>
      </c>
    </row>
    <row r="16" ht="14.25" customHeight="1">
      <c r="A16" s="6"/>
      <c r="B16" s="7"/>
      <c r="C16" s="7"/>
      <c r="D16" s="7"/>
      <c r="E16" s="7"/>
      <c r="F16" s="7"/>
      <c r="G16" s="8"/>
    </row>
    <row r="17" ht="14.25" customHeight="1">
      <c r="A17" s="9">
        <v>0.0</v>
      </c>
      <c r="B17" s="9">
        <v>50.0</v>
      </c>
      <c r="C17" s="10">
        <f t="shared" ref="C17:C23" si="1">+POISSON(A17,2,TRUE)</f>
        <v>0.1353352832</v>
      </c>
      <c r="D17" s="10">
        <f t="shared" ref="D17:D23" si="2">+POISSON(A17,2,FALSE)</f>
        <v>0.1353352832</v>
      </c>
      <c r="E17" s="10">
        <f t="shared" ref="E17:E24" si="3">+$B$25*D17</f>
        <v>32.61580326</v>
      </c>
      <c r="F17" s="10">
        <f t="shared" ref="F17:F24" si="4">+((B17-E17)^2)/E17</f>
        <v>9.265762792</v>
      </c>
      <c r="G17" s="10">
        <f t="shared" ref="G17:G24" si="5">+B17*LN(B17/E17)</f>
        <v>21.3613036</v>
      </c>
    </row>
    <row r="18" ht="14.25" customHeight="1">
      <c r="A18" s="11">
        <v>1.0</v>
      </c>
      <c r="B18" s="11">
        <v>60.0</v>
      </c>
      <c r="C18" s="10">
        <f t="shared" si="1"/>
        <v>0.4060058497</v>
      </c>
      <c r="D18" s="10">
        <f t="shared" si="2"/>
        <v>0.2706705665</v>
      </c>
      <c r="E18" s="10">
        <f t="shared" si="3"/>
        <v>65.23160652</v>
      </c>
      <c r="F18" s="10">
        <f t="shared" si="4"/>
        <v>0.4195773834</v>
      </c>
      <c r="G18" s="10">
        <f t="shared" si="5"/>
        <v>-5.01597311</v>
      </c>
    </row>
    <row r="19" ht="14.25" customHeight="1">
      <c r="A19" s="11">
        <v>2.0</v>
      </c>
      <c r="B19" s="11">
        <v>60.0</v>
      </c>
      <c r="C19" s="10">
        <f t="shared" si="1"/>
        <v>0.6766764162</v>
      </c>
      <c r="D19" s="10">
        <f t="shared" si="2"/>
        <v>0.2706705665</v>
      </c>
      <c r="E19" s="10">
        <f t="shared" si="3"/>
        <v>65.23160652</v>
      </c>
      <c r="F19" s="10">
        <f t="shared" si="4"/>
        <v>0.4195773834</v>
      </c>
      <c r="G19" s="10">
        <f t="shared" si="5"/>
        <v>-5.01597311</v>
      </c>
    </row>
    <row r="20" ht="14.25" customHeight="1">
      <c r="A20" s="11">
        <v>3.0</v>
      </c>
      <c r="B20" s="11">
        <v>30.0</v>
      </c>
      <c r="C20" s="10">
        <f t="shared" si="1"/>
        <v>0.8571234605</v>
      </c>
      <c r="D20" s="10">
        <f t="shared" si="2"/>
        <v>0.1804470443</v>
      </c>
      <c r="E20" s="10">
        <f t="shared" si="3"/>
        <v>43.48773768</v>
      </c>
      <c r="F20" s="10">
        <f t="shared" si="4"/>
        <v>4.183226754</v>
      </c>
      <c r="G20" s="10">
        <f t="shared" si="5"/>
        <v>-11.13844873</v>
      </c>
    </row>
    <row r="21" ht="14.25" customHeight="1">
      <c r="A21" s="11">
        <v>4.0</v>
      </c>
      <c r="B21" s="11">
        <v>16.0</v>
      </c>
      <c r="C21" s="10">
        <f t="shared" si="1"/>
        <v>0.9473469827</v>
      </c>
      <c r="D21" s="10">
        <f t="shared" si="2"/>
        <v>0.09022352216</v>
      </c>
      <c r="E21" s="10">
        <f t="shared" si="3"/>
        <v>21.74386884</v>
      </c>
      <c r="F21" s="10">
        <f t="shared" si="4"/>
        <v>1.517302624</v>
      </c>
      <c r="G21" s="10">
        <f t="shared" si="5"/>
        <v>-4.90788965</v>
      </c>
    </row>
    <row r="22" ht="14.25" customHeight="1">
      <c r="A22" s="11">
        <v>5.0</v>
      </c>
      <c r="B22" s="11">
        <v>10.0</v>
      </c>
      <c r="C22" s="10">
        <f t="shared" si="1"/>
        <v>0.9834363915</v>
      </c>
      <c r="D22" s="10">
        <f t="shared" si="2"/>
        <v>0.03608940886</v>
      </c>
      <c r="E22" s="10">
        <f t="shared" si="3"/>
        <v>8.697547536</v>
      </c>
      <c r="F22" s="10">
        <f t="shared" si="4"/>
        <v>0.1950414659</v>
      </c>
      <c r="G22" s="10">
        <f t="shared" si="5"/>
        <v>1.395439995</v>
      </c>
    </row>
    <row r="23" ht="14.25" customHeight="1">
      <c r="A23" s="11">
        <v>6.0</v>
      </c>
      <c r="B23" s="11">
        <v>8.0</v>
      </c>
      <c r="C23" s="10">
        <f t="shared" si="1"/>
        <v>0.9954661945</v>
      </c>
      <c r="D23" s="10">
        <f t="shared" si="2"/>
        <v>0.01202980295</v>
      </c>
      <c r="E23" s="10">
        <f t="shared" si="3"/>
        <v>2.899182512</v>
      </c>
      <c r="F23" s="10">
        <f t="shared" si="4"/>
        <v>8.974370857</v>
      </c>
      <c r="G23" s="10">
        <f t="shared" si="5"/>
        <v>8.120101895</v>
      </c>
    </row>
    <row r="24" ht="14.25" customHeight="1">
      <c r="A24" s="11">
        <v>7.0</v>
      </c>
      <c r="B24" s="11">
        <v>7.0</v>
      </c>
      <c r="C24" s="10">
        <v>1.0</v>
      </c>
      <c r="D24" s="10">
        <f>C24-C23</f>
        <v>0.004533805526</v>
      </c>
      <c r="E24" s="10">
        <f t="shared" si="3"/>
        <v>1.092647132</v>
      </c>
      <c r="F24" s="10">
        <f t="shared" si="4"/>
        <v>31.93786621</v>
      </c>
      <c r="G24" s="10">
        <f t="shared" si="5"/>
        <v>13.00114785</v>
      </c>
    </row>
    <row r="25" ht="14.25" customHeight="1">
      <c r="A25" s="1" t="s">
        <v>13</v>
      </c>
      <c r="B25" s="1">
        <f>SUM(B17:B24)</f>
        <v>241</v>
      </c>
      <c r="D25" s="2"/>
      <c r="E25" s="12"/>
      <c r="F25" s="13">
        <f>SUM(F17:F24)</f>
        <v>56.91272547</v>
      </c>
      <c r="G25" s="2">
        <f>2*SUM(G17:G24)</f>
        <v>35.59941748</v>
      </c>
    </row>
    <row r="26" ht="14.25" customHeight="1"/>
    <row r="27" ht="14.25" customHeight="1"/>
    <row r="28" ht="14.25" customHeight="1">
      <c r="F28" s="1" t="s">
        <v>14</v>
      </c>
    </row>
    <row r="29" ht="14.25" customHeight="1">
      <c r="A29" s="1" t="s">
        <v>15</v>
      </c>
      <c r="F29" s="1" t="s">
        <v>16</v>
      </c>
      <c r="H29" s="14">
        <f>+_xlfn.CHISQ.INV(0.95,6)</f>
        <v>12.59158724</v>
      </c>
    </row>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c r="A47" s="15" t="s">
        <v>17</v>
      </c>
    </row>
    <row r="48" ht="14.25" customHeight="1"/>
    <row r="49" ht="14.25" customHeight="1"/>
    <row r="50" ht="14.25" customHeight="1"/>
    <row r="51" ht="14.25" customHeight="1"/>
    <row r="52" ht="14.25" customHeight="1">
      <c r="C52" s="1" t="s">
        <v>18</v>
      </c>
    </row>
    <row r="53" ht="14.25" customHeight="1"/>
    <row r="54" ht="14.25" customHeight="1">
      <c r="A54" s="1" t="s">
        <v>19</v>
      </c>
    </row>
    <row r="55" ht="14.25" customHeight="1"/>
    <row r="56" ht="14.25" customHeight="1"/>
    <row r="57" ht="14.25" customHeight="1"/>
    <row r="58" ht="14.25" customHeight="1"/>
    <row r="59" ht="14.25" customHeight="1"/>
    <row r="60" ht="14.25" customHeight="1">
      <c r="A60" s="1" t="s">
        <v>20</v>
      </c>
      <c r="B60" s="2">
        <f>+_xlfn.CHISQ.DIST.RT(F25,6)</f>
        <v>0.0000000001902773494</v>
      </c>
    </row>
    <row r="61" ht="14.25" customHeight="1">
      <c r="A61" s="1" t="s">
        <v>21</v>
      </c>
      <c r="B61" s="2">
        <f>+_xlfn.CHISQ.DIST.RT(G25,6)</f>
        <v>0.000003297494113</v>
      </c>
    </row>
    <row r="62" ht="14.25" customHeight="1">
      <c r="A62" s="1" t="s">
        <v>22</v>
      </c>
    </row>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8">
    <mergeCell ref="A15:A16"/>
    <mergeCell ref="B15:B16"/>
    <mergeCell ref="C15:C16"/>
    <mergeCell ref="D15:D16"/>
    <mergeCell ref="E15:E16"/>
    <mergeCell ref="F15:F16"/>
    <mergeCell ref="G15:G16"/>
    <mergeCell ref="A47:G48"/>
  </mergeCells>
  <printOptions/>
  <pageMargins bottom="0.75" footer="0.0" header="0.0" left="0.7" right="0.7" top="0.75"/>
  <pageSetup paperSize="9" orientation="portrait"/>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50" width="10.71"/>
  </cols>
  <sheetData>
    <row r="1" ht="14.25" customHeight="1">
      <c r="A1" s="1" t="s">
        <v>457</v>
      </c>
      <c r="B1" s="1" t="s">
        <v>458</v>
      </c>
      <c r="C1" s="1" t="s">
        <v>459</v>
      </c>
    </row>
    <row r="2" ht="14.25" customHeight="1">
      <c r="A2" s="1">
        <v>1.0</v>
      </c>
      <c r="B2" s="1" t="s">
        <v>460</v>
      </c>
      <c r="C2" s="1">
        <v>1.7</v>
      </c>
    </row>
    <row r="3" ht="14.25" customHeight="1">
      <c r="A3" s="1">
        <v>2.0</v>
      </c>
      <c r="B3" s="1" t="s">
        <v>461</v>
      </c>
      <c r="C3" s="1">
        <v>1.72</v>
      </c>
    </row>
    <row r="4" ht="14.25" customHeight="1">
      <c r="A4" s="1">
        <v>3.0</v>
      </c>
      <c r="B4" s="1" t="s">
        <v>462</v>
      </c>
      <c r="C4" s="1">
        <v>1.74</v>
      </c>
      <c r="E4" s="1" t="s">
        <v>463</v>
      </c>
      <c r="F4" s="95">
        <f>+C7-B13*C9</f>
        <v>1.641258614</v>
      </c>
    </row>
    <row r="5" ht="14.25" customHeight="1">
      <c r="A5" s="1">
        <v>4.0</v>
      </c>
      <c r="B5" s="1" t="s">
        <v>464</v>
      </c>
      <c r="C5" s="1">
        <v>1.65</v>
      </c>
      <c r="E5" s="1" t="s">
        <v>465</v>
      </c>
      <c r="F5" s="95">
        <f>+C7+B13*C9</f>
        <v>1.742741386</v>
      </c>
    </row>
    <row r="6" ht="14.25" customHeight="1">
      <c r="A6" s="37">
        <v>5.0</v>
      </c>
      <c r="B6" s="37" t="s">
        <v>466</v>
      </c>
      <c r="C6" s="37">
        <v>1.65</v>
      </c>
    </row>
    <row r="7" ht="14.25" customHeight="1">
      <c r="A7" s="1" t="s">
        <v>60</v>
      </c>
      <c r="C7" s="1">
        <f>+AVERAGE(C2:C6)</f>
        <v>1.692</v>
      </c>
    </row>
    <row r="8" ht="14.25" customHeight="1">
      <c r="A8" s="1" t="s">
        <v>40</v>
      </c>
      <c r="C8" s="33">
        <f>+_xlfn.STDEV.S(C2:C6)</f>
        <v>0.04086563348</v>
      </c>
    </row>
    <row r="9" ht="14.25" customHeight="1">
      <c r="A9" s="1" t="s">
        <v>467</v>
      </c>
      <c r="C9" s="33">
        <f>+C8/SQRT(5)</f>
        <v>0.01827566688</v>
      </c>
    </row>
    <row r="10" ht="14.25" customHeight="1"/>
    <row r="11" ht="14.25" customHeight="1"/>
    <row r="12" ht="14.25" customHeight="1"/>
    <row r="13" ht="14.25" customHeight="1">
      <c r="A13" s="1" t="s">
        <v>468</v>
      </c>
      <c r="B13" s="1">
        <f>+_xlfn.T.INV(0.975,4)</f>
        <v>2.776445105</v>
      </c>
    </row>
    <row r="14" ht="14.25" customHeight="1"/>
    <row r="15" ht="14.25" customHeight="1"/>
    <row r="16" ht="14.25" customHeight="1">
      <c r="A16" s="1" t="s">
        <v>469</v>
      </c>
      <c r="B16" s="90">
        <v>1.6</v>
      </c>
    </row>
    <row r="17" ht="14.25" customHeight="1">
      <c r="A17" s="1" t="s">
        <v>470</v>
      </c>
      <c r="B17" s="90">
        <v>1.6</v>
      </c>
    </row>
    <row r="18" ht="14.25" customHeight="1"/>
    <row r="19" ht="14.25" customHeight="1"/>
    <row r="20" ht="14.25" customHeight="1"/>
    <row r="21" ht="14.25" customHeight="1"/>
    <row r="22" ht="14.25" customHeight="1"/>
    <row r="23" ht="14.25" customHeight="1"/>
    <row r="24" ht="14.25" customHeight="1"/>
    <row r="25" ht="14.25" customHeight="1">
      <c r="A25" s="1" t="s">
        <v>471</v>
      </c>
    </row>
    <row r="26" ht="14.25" customHeight="1"/>
    <row r="27" ht="14.25" customHeight="1">
      <c r="A27" s="1" t="s">
        <v>472</v>
      </c>
      <c r="B27" s="47"/>
      <c r="C27" s="47"/>
      <c r="D27" s="47"/>
      <c r="E27" s="47"/>
      <c r="F27" s="47"/>
      <c r="G27" s="47"/>
      <c r="H27" s="47"/>
      <c r="I27" s="47"/>
      <c r="J27" s="47"/>
      <c r="K27" s="47"/>
      <c r="L27" s="47"/>
      <c r="M27" s="47"/>
      <c r="N27" s="47"/>
      <c r="O27" s="47"/>
      <c r="P27" s="47"/>
      <c r="Q27" s="47"/>
      <c r="R27" s="47"/>
      <c r="S27" s="47"/>
      <c r="T27" s="47"/>
      <c r="U27" s="47"/>
      <c r="V27" s="47"/>
      <c r="W27" s="47"/>
      <c r="X27" s="47"/>
      <c r="Y27" s="47"/>
      <c r="Z27" s="47"/>
      <c r="AA27" s="47"/>
      <c r="AB27" s="47"/>
      <c r="AC27" s="47"/>
      <c r="AD27" s="47"/>
      <c r="AE27" s="47"/>
      <c r="AF27" s="47"/>
      <c r="AG27" s="47"/>
      <c r="AH27" s="47"/>
      <c r="AI27" s="47"/>
      <c r="AJ27" s="47"/>
      <c r="AK27" s="47"/>
      <c r="AL27" s="47"/>
      <c r="AM27" s="47"/>
      <c r="AN27" s="47"/>
      <c r="AO27" s="47"/>
      <c r="AP27" s="47"/>
      <c r="AQ27" s="47"/>
      <c r="AR27" s="47"/>
      <c r="AS27" s="47"/>
      <c r="AT27" s="47"/>
      <c r="AU27" s="47"/>
      <c r="AV27" s="47"/>
      <c r="AW27" s="47"/>
      <c r="AX27" s="47"/>
    </row>
    <row r="28" ht="14.25" customHeight="1">
      <c r="A28" s="37">
        <v>1.0</v>
      </c>
      <c r="B28" s="37">
        <v>2.0</v>
      </c>
      <c r="C28" s="37">
        <v>3.0</v>
      </c>
      <c r="D28" s="37">
        <v>4.0</v>
      </c>
      <c r="E28" s="37">
        <v>5.0</v>
      </c>
      <c r="F28" s="37">
        <v>6.0</v>
      </c>
      <c r="G28" s="37">
        <v>7.0</v>
      </c>
      <c r="H28" s="37">
        <v>8.0</v>
      </c>
      <c r="I28" s="37">
        <v>9.0</v>
      </c>
      <c r="J28" s="37">
        <v>10.0</v>
      </c>
      <c r="K28" s="37">
        <v>11.0</v>
      </c>
      <c r="L28" s="37">
        <v>12.0</v>
      </c>
      <c r="M28" s="37">
        <v>13.0</v>
      </c>
      <c r="N28" s="37">
        <v>14.0</v>
      </c>
      <c r="O28" s="37">
        <v>15.0</v>
      </c>
      <c r="P28" s="37">
        <v>16.0</v>
      </c>
      <c r="Q28" s="37">
        <v>17.0</v>
      </c>
      <c r="R28" s="37">
        <v>18.0</v>
      </c>
      <c r="S28" s="37">
        <v>19.0</v>
      </c>
      <c r="T28" s="37">
        <v>20.0</v>
      </c>
      <c r="U28" s="37">
        <v>21.0</v>
      </c>
      <c r="V28" s="37">
        <v>22.0</v>
      </c>
      <c r="W28" s="37">
        <v>23.0</v>
      </c>
      <c r="X28" s="37">
        <v>24.0</v>
      </c>
      <c r="Y28" s="37">
        <v>25.0</v>
      </c>
      <c r="Z28" s="37">
        <v>26.0</v>
      </c>
      <c r="AA28" s="37">
        <v>27.0</v>
      </c>
      <c r="AB28" s="37">
        <v>28.0</v>
      </c>
      <c r="AC28" s="37">
        <v>29.0</v>
      </c>
      <c r="AD28" s="37">
        <v>30.0</v>
      </c>
      <c r="AE28" s="37">
        <v>31.0</v>
      </c>
      <c r="AF28" s="37">
        <v>32.0</v>
      </c>
      <c r="AG28" s="37">
        <v>33.0</v>
      </c>
      <c r="AH28" s="37">
        <v>34.0</v>
      </c>
      <c r="AI28" s="37">
        <v>35.0</v>
      </c>
      <c r="AJ28" s="37">
        <v>36.0</v>
      </c>
      <c r="AK28" s="37">
        <v>37.0</v>
      </c>
      <c r="AL28" s="37">
        <v>38.0</v>
      </c>
      <c r="AM28" s="37">
        <v>39.0</v>
      </c>
      <c r="AN28" s="37">
        <v>40.0</v>
      </c>
      <c r="AO28" s="37">
        <v>41.0</v>
      </c>
      <c r="AP28" s="37">
        <v>42.0</v>
      </c>
      <c r="AQ28" s="37">
        <v>43.0</v>
      </c>
      <c r="AR28" s="37">
        <v>44.0</v>
      </c>
      <c r="AS28" s="37">
        <v>45.0</v>
      </c>
      <c r="AT28" s="37">
        <v>46.0</v>
      </c>
      <c r="AU28" s="37">
        <v>47.0</v>
      </c>
      <c r="AV28" s="37">
        <v>48.0</v>
      </c>
      <c r="AW28" s="37">
        <v>49.0</v>
      </c>
      <c r="AX28" s="37">
        <v>50.0</v>
      </c>
    </row>
    <row r="29" ht="14.25" customHeight="1">
      <c r="A29" s="1">
        <v>3.0</v>
      </c>
      <c r="B29" s="1">
        <v>5.0</v>
      </c>
      <c r="C29" s="1">
        <v>1.0</v>
      </c>
      <c r="D29" s="1">
        <v>3.0</v>
      </c>
      <c r="E29" s="1">
        <v>5.0</v>
      </c>
      <c r="F29" s="1">
        <v>2.0</v>
      </c>
      <c r="G29" s="1">
        <v>2.0</v>
      </c>
      <c r="H29" s="1">
        <v>5.0</v>
      </c>
      <c r="I29" s="1">
        <v>2.0</v>
      </c>
      <c r="J29" s="1">
        <v>2.0</v>
      </c>
      <c r="K29" s="1">
        <v>3.0</v>
      </c>
      <c r="L29" s="1">
        <v>3.0</v>
      </c>
      <c r="M29" s="1">
        <v>4.0</v>
      </c>
      <c r="N29" s="1">
        <v>3.0</v>
      </c>
      <c r="O29" s="1">
        <v>4.0</v>
      </c>
      <c r="P29" s="1">
        <v>5.0</v>
      </c>
      <c r="Q29" s="1">
        <v>2.0</v>
      </c>
      <c r="R29" s="1">
        <v>3.0</v>
      </c>
      <c r="S29" s="1">
        <v>5.0</v>
      </c>
      <c r="T29" s="1">
        <v>4.0</v>
      </c>
      <c r="U29" s="1">
        <v>1.0</v>
      </c>
      <c r="V29" s="1">
        <v>5.0</v>
      </c>
      <c r="W29" s="1">
        <v>3.0</v>
      </c>
      <c r="X29" s="1">
        <v>5.0</v>
      </c>
      <c r="Y29" s="1">
        <v>5.0</v>
      </c>
      <c r="Z29" s="1">
        <v>5.0</v>
      </c>
      <c r="AA29" s="1">
        <v>5.0</v>
      </c>
      <c r="AB29" s="1">
        <v>3.0</v>
      </c>
      <c r="AC29" s="1">
        <v>3.0</v>
      </c>
      <c r="AD29" s="1">
        <v>4.0</v>
      </c>
      <c r="AE29" s="1">
        <v>4.0</v>
      </c>
      <c r="AF29" s="1">
        <v>4.0</v>
      </c>
      <c r="AG29" s="1">
        <v>5.0</v>
      </c>
      <c r="AH29" s="1">
        <v>3.0</v>
      </c>
      <c r="AI29" s="1">
        <v>4.0</v>
      </c>
      <c r="AJ29" s="1">
        <v>3.0</v>
      </c>
      <c r="AK29" s="1">
        <v>2.0</v>
      </c>
      <c r="AL29" s="1">
        <v>5.0</v>
      </c>
      <c r="AM29" s="1">
        <v>4.0</v>
      </c>
      <c r="AN29" s="1">
        <v>2.0</v>
      </c>
      <c r="AO29" s="1">
        <v>5.0</v>
      </c>
      <c r="AP29" s="1">
        <v>1.0</v>
      </c>
      <c r="AQ29" s="1">
        <v>3.0</v>
      </c>
      <c r="AR29" s="1">
        <v>3.0</v>
      </c>
      <c r="AS29" s="1">
        <v>2.0</v>
      </c>
      <c r="AT29" s="1">
        <v>4.0</v>
      </c>
      <c r="AU29" s="1">
        <v>5.0</v>
      </c>
      <c r="AV29" s="1">
        <v>1.0</v>
      </c>
      <c r="AW29" s="1">
        <v>1.0</v>
      </c>
      <c r="AX29" s="1">
        <v>4.0</v>
      </c>
    </row>
    <row r="30" ht="14.25" customHeight="1">
      <c r="A30" s="1">
        <v>4.0</v>
      </c>
      <c r="B30" s="1">
        <v>3.0</v>
      </c>
      <c r="C30" s="1">
        <v>4.0</v>
      </c>
      <c r="D30" s="1">
        <v>3.0</v>
      </c>
      <c r="E30" s="1">
        <v>1.0</v>
      </c>
      <c r="F30" s="1">
        <v>5.0</v>
      </c>
      <c r="G30" s="1">
        <v>3.0</v>
      </c>
      <c r="H30" s="1">
        <v>1.0</v>
      </c>
      <c r="I30" s="1">
        <v>3.0</v>
      </c>
      <c r="J30" s="1">
        <v>5.0</v>
      </c>
      <c r="K30" s="1">
        <v>2.0</v>
      </c>
      <c r="L30" s="1">
        <v>1.0</v>
      </c>
      <c r="M30" s="1">
        <v>2.0</v>
      </c>
      <c r="N30" s="1">
        <v>1.0</v>
      </c>
      <c r="O30" s="1">
        <v>3.0</v>
      </c>
      <c r="P30" s="1">
        <v>5.0</v>
      </c>
      <c r="Q30" s="1">
        <v>4.0</v>
      </c>
      <c r="R30" s="1">
        <v>2.0</v>
      </c>
      <c r="S30" s="1">
        <v>4.0</v>
      </c>
      <c r="T30" s="1">
        <v>3.0</v>
      </c>
      <c r="U30" s="1">
        <v>3.0</v>
      </c>
      <c r="V30" s="1">
        <v>3.0</v>
      </c>
      <c r="W30" s="1">
        <v>5.0</v>
      </c>
      <c r="X30" s="1">
        <v>3.0</v>
      </c>
      <c r="Y30" s="1">
        <v>4.0</v>
      </c>
      <c r="Z30" s="1">
        <v>3.0</v>
      </c>
      <c r="AA30" s="1">
        <v>5.0</v>
      </c>
      <c r="AB30" s="1">
        <v>2.0</v>
      </c>
      <c r="AC30" s="1">
        <v>1.0</v>
      </c>
      <c r="AD30" s="1">
        <v>2.0</v>
      </c>
      <c r="AE30" s="1">
        <v>4.0</v>
      </c>
      <c r="AF30" s="1">
        <v>4.0</v>
      </c>
      <c r="AG30" s="1">
        <v>2.0</v>
      </c>
      <c r="AH30" s="1">
        <v>5.0</v>
      </c>
      <c r="AI30" s="1">
        <v>4.0</v>
      </c>
      <c r="AJ30" s="1">
        <v>4.0</v>
      </c>
      <c r="AK30" s="1">
        <v>2.0</v>
      </c>
      <c r="AL30" s="1">
        <v>3.0</v>
      </c>
      <c r="AM30" s="1">
        <v>4.0</v>
      </c>
      <c r="AN30" s="1">
        <v>3.0</v>
      </c>
      <c r="AO30" s="1">
        <v>4.0</v>
      </c>
      <c r="AP30" s="1">
        <v>3.0</v>
      </c>
      <c r="AQ30" s="1">
        <v>4.0</v>
      </c>
      <c r="AR30" s="1">
        <v>1.0</v>
      </c>
      <c r="AS30" s="1">
        <v>5.0</v>
      </c>
      <c r="AT30" s="1">
        <v>1.0</v>
      </c>
      <c r="AU30" s="1">
        <v>2.0</v>
      </c>
      <c r="AV30" s="1">
        <v>3.0</v>
      </c>
      <c r="AW30" s="1">
        <v>1.0</v>
      </c>
      <c r="AX30" s="1">
        <v>5.0</v>
      </c>
    </row>
    <row r="31" ht="14.25" customHeight="1">
      <c r="A31" s="1">
        <v>5.0</v>
      </c>
      <c r="B31" s="1">
        <v>4.0</v>
      </c>
      <c r="C31" s="1">
        <v>3.0</v>
      </c>
      <c r="D31" s="1">
        <v>1.0</v>
      </c>
      <c r="E31" s="1">
        <v>2.0</v>
      </c>
      <c r="F31" s="1">
        <v>4.0</v>
      </c>
      <c r="G31" s="1">
        <v>3.0</v>
      </c>
      <c r="H31" s="1">
        <v>5.0</v>
      </c>
      <c r="I31" s="1">
        <v>5.0</v>
      </c>
      <c r="J31" s="1">
        <v>2.0</v>
      </c>
      <c r="K31" s="1">
        <v>1.0</v>
      </c>
      <c r="L31" s="1">
        <v>4.0</v>
      </c>
      <c r="M31" s="1">
        <v>1.0</v>
      </c>
      <c r="N31" s="1">
        <v>3.0</v>
      </c>
      <c r="O31" s="1">
        <v>3.0</v>
      </c>
      <c r="P31" s="1">
        <v>5.0</v>
      </c>
      <c r="Q31" s="1">
        <v>4.0</v>
      </c>
      <c r="R31" s="1">
        <v>1.0</v>
      </c>
      <c r="S31" s="1">
        <v>1.0</v>
      </c>
      <c r="T31" s="1">
        <v>1.0</v>
      </c>
      <c r="U31" s="1">
        <v>2.0</v>
      </c>
      <c r="V31" s="1">
        <v>2.0</v>
      </c>
      <c r="W31" s="1">
        <v>2.0</v>
      </c>
      <c r="X31" s="1">
        <v>2.0</v>
      </c>
      <c r="Y31" s="1">
        <v>3.0</v>
      </c>
      <c r="Z31" s="1">
        <v>4.0</v>
      </c>
      <c r="AA31" s="1">
        <v>2.0</v>
      </c>
      <c r="AB31" s="1">
        <v>4.0</v>
      </c>
      <c r="AC31" s="1">
        <v>4.0</v>
      </c>
      <c r="AD31" s="1">
        <v>2.0</v>
      </c>
      <c r="AE31" s="1">
        <v>4.0</v>
      </c>
      <c r="AF31" s="1">
        <v>3.0</v>
      </c>
      <c r="AG31" s="1">
        <v>3.0</v>
      </c>
      <c r="AH31" s="1">
        <v>1.0</v>
      </c>
      <c r="AI31" s="1">
        <v>3.0</v>
      </c>
      <c r="AJ31" s="1">
        <v>5.0</v>
      </c>
      <c r="AK31" s="1">
        <v>3.0</v>
      </c>
      <c r="AL31" s="1">
        <v>1.0</v>
      </c>
      <c r="AM31" s="1">
        <v>5.0</v>
      </c>
      <c r="AN31" s="1">
        <v>1.0</v>
      </c>
      <c r="AO31" s="1">
        <v>5.0</v>
      </c>
      <c r="AP31" s="1">
        <v>4.0</v>
      </c>
      <c r="AQ31" s="1">
        <v>3.0</v>
      </c>
      <c r="AR31" s="1">
        <v>3.0</v>
      </c>
      <c r="AS31" s="1">
        <v>3.0</v>
      </c>
      <c r="AT31" s="1">
        <v>1.0</v>
      </c>
      <c r="AU31" s="1">
        <v>1.0</v>
      </c>
      <c r="AV31" s="1">
        <v>2.0</v>
      </c>
      <c r="AW31" s="1">
        <v>4.0</v>
      </c>
      <c r="AX31" s="1">
        <v>5.0</v>
      </c>
    </row>
    <row r="32" ht="14.25" customHeight="1">
      <c r="A32" s="1">
        <v>3.0</v>
      </c>
      <c r="B32" s="1">
        <v>1.0</v>
      </c>
      <c r="C32" s="1">
        <v>3.0</v>
      </c>
      <c r="D32" s="1">
        <v>2.0</v>
      </c>
      <c r="E32" s="1">
        <v>2.0</v>
      </c>
      <c r="F32" s="1">
        <v>4.0</v>
      </c>
      <c r="G32" s="1">
        <v>5.0</v>
      </c>
      <c r="H32" s="1">
        <v>5.0</v>
      </c>
      <c r="I32" s="1">
        <v>3.0</v>
      </c>
      <c r="J32" s="1">
        <v>2.0</v>
      </c>
      <c r="K32" s="1">
        <v>2.0</v>
      </c>
      <c r="L32" s="1">
        <v>2.0</v>
      </c>
      <c r="M32" s="1">
        <v>1.0</v>
      </c>
      <c r="N32" s="1">
        <v>2.0</v>
      </c>
      <c r="O32" s="1">
        <v>2.0</v>
      </c>
      <c r="P32" s="1">
        <v>5.0</v>
      </c>
      <c r="Q32" s="1">
        <v>4.0</v>
      </c>
      <c r="R32" s="1">
        <v>2.0</v>
      </c>
      <c r="S32" s="1">
        <v>4.0</v>
      </c>
      <c r="T32" s="1">
        <v>2.0</v>
      </c>
      <c r="U32" s="1">
        <v>1.0</v>
      </c>
      <c r="V32" s="1">
        <v>2.0</v>
      </c>
      <c r="W32" s="1">
        <v>2.0</v>
      </c>
      <c r="X32" s="1">
        <v>3.0</v>
      </c>
      <c r="Y32" s="1">
        <v>4.0</v>
      </c>
      <c r="Z32" s="1">
        <v>4.0</v>
      </c>
      <c r="AA32" s="1">
        <v>1.0</v>
      </c>
      <c r="AB32" s="1">
        <v>2.0</v>
      </c>
      <c r="AC32" s="1">
        <v>2.0</v>
      </c>
      <c r="AD32" s="1">
        <v>5.0</v>
      </c>
      <c r="AE32" s="1">
        <v>2.0</v>
      </c>
      <c r="AF32" s="1">
        <v>4.0</v>
      </c>
      <c r="AG32" s="1">
        <v>5.0</v>
      </c>
      <c r="AH32" s="1">
        <v>4.0</v>
      </c>
      <c r="AI32" s="1">
        <v>2.0</v>
      </c>
      <c r="AJ32" s="1">
        <v>3.0</v>
      </c>
      <c r="AK32" s="1">
        <v>1.0</v>
      </c>
      <c r="AL32" s="1">
        <v>2.0</v>
      </c>
      <c r="AM32" s="1">
        <v>3.0</v>
      </c>
      <c r="AN32" s="1">
        <v>3.0</v>
      </c>
      <c r="AO32" s="1">
        <v>1.0</v>
      </c>
      <c r="AP32" s="1">
        <v>3.0</v>
      </c>
      <c r="AQ32" s="1">
        <v>5.0</v>
      </c>
      <c r="AR32" s="1">
        <v>3.0</v>
      </c>
      <c r="AS32" s="1">
        <v>5.0</v>
      </c>
      <c r="AT32" s="1">
        <v>2.0</v>
      </c>
      <c r="AU32" s="1">
        <v>5.0</v>
      </c>
      <c r="AV32" s="1">
        <v>3.0</v>
      </c>
      <c r="AW32" s="1">
        <v>5.0</v>
      </c>
      <c r="AX32" s="1">
        <v>3.0</v>
      </c>
    </row>
    <row r="33" ht="14.25" customHeight="1">
      <c r="A33" s="1">
        <v>2.0</v>
      </c>
      <c r="B33" s="1">
        <v>4.0</v>
      </c>
      <c r="C33" s="1">
        <v>4.0</v>
      </c>
      <c r="D33" s="1">
        <v>1.0</v>
      </c>
      <c r="E33" s="1">
        <v>1.0</v>
      </c>
      <c r="F33" s="1">
        <v>5.0</v>
      </c>
      <c r="G33" s="1">
        <v>2.0</v>
      </c>
      <c r="H33" s="1">
        <v>1.0</v>
      </c>
      <c r="I33" s="1">
        <v>1.0</v>
      </c>
      <c r="J33" s="1">
        <v>4.0</v>
      </c>
      <c r="K33" s="1">
        <v>2.0</v>
      </c>
      <c r="L33" s="1">
        <v>3.0</v>
      </c>
      <c r="M33" s="1">
        <v>2.0</v>
      </c>
      <c r="N33" s="1">
        <v>2.0</v>
      </c>
      <c r="O33" s="1">
        <v>2.0</v>
      </c>
      <c r="P33" s="1">
        <v>3.0</v>
      </c>
      <c r="Q33" s="1">
        <v>5.0</v>
      </c>
      <c r="R33" s="1">
        <v>5.0</v>
      </c>
      <c r="S33" s="1">
        <v>3.0</v>
      </c>
      <c r="T33" s="1">
        <v>5.0</v>
      </c>
      <c r="U33" s="1">
        <v>4.0</v>
      </c>
      <c r="V33" s="1">
        <v>4.0</v>
      </c>
      <c r="W33" s="1">
        <v>4.0</v>
      </c>
      <c r="X33" s="1">
        <v>3.0</v>
      </c>
      <c r="Y33" s="1">
        <v>4.0</v>
      </c>
      <c r="Z33" s="1">
        <v>3.0</v>
      </c>
      <c r="AA33" s="1">
        <v>4.0</v>
      </c>
      <c r="AB33" s="1">
        <v>5.0</v>
      </c>
      <c r="AC33" s="1">
        <v>5.0</v>
      </c>
      <c r="AD33" s="1">
        <v>1.0</v>
      </c>
      <c r="AE33" s="1">
        <v>4.0</v>
      </c>
      <c r="AF33" s="1">
        <v>5.0</v>
      </c>
      <c r="AG33" s="1">
        <v>5.0</v>
      </c>
      <c r="AH33" s="1">
        <v>2.0</v>
      </c>
      <c r="AI33" s="1">
        <v>3.0</v>
      </c>
      <c r="AJ33" s="1">
        <v>2.0</v>
      </c>
      <c r="AK33" s="1">
        <v>5.0</v>
      </c>
      <c r="AL33" s="1">
        <v>4.0</v>
      </c>
      <c r="AM33" s="1">
        <v>1.0</v>
      </c>
      <c r="AN33" s="1">
        <v>5.0</v>
      </c>
      <c r="AO33" s="1">
        <v>4.0</v>
      </c>
      <c r="AP33" s="1">
        <v>5.0</v>
      </c>
      <c r="AQ33" s="1">
        <v>2.0</v>
      </c>
      <c r="AR33" s="1">
        <v>5.0</v>
      </c>
      <c r="AS33" s="1">
        <v>4.0</v>
      </c>
      <c r="AT33" s="1">
        <v>4.0</v>
      </c>
      <c r="AU33" s="1">
        <v>2.0</v>
      </c>
      <c r="AV33" s="1">
        <v>3.0</v>
      </c>
      <c r="AW33" s="1">
        <v>4.0</v>
      </c>
      <c r="AX33" s="1">
        <v>1.0</v>
      </c>
    </row>
    <row r="34" ht="14.25" customHeight="1"/>
    <row r="35" ht="14.25" customHeight="1"/>
    <row r="36" ht="14.25" customHeight="1"/>
    <row r="37" ht="14.25" customHeight="1">
      <c r="A37" s="1">
        <f t="shared" ref="A37:AX37" si="1">+RANDBETWEEN(1,5)</f>
        <v>2</v>
      </c>
      <c r="B37" s="1">
        <f t="shared" si="1"/>
        <v>5</v>
      </c>
      <c r="C37" s="1">
        <f t="shared" si="1"/>
        <v>2</v>
      </c>
      <c r="D37" s="1">
        <f t="shared" si="1"/>
        <v>4</v>
      </c>
      <c r="E37" s="1">
        <f t="shared" si="1"/>
        <v>4</v>
      </c>
      <c r="F37" s="1">
        <f t="shared" si="1"/>
        <v>2</v>
      </c>
      <c r="G37" s="1">
        <f t="shared" si="1"/>
        <v>3</v>
      </c>
      <c r="H37" s="1">
        <f t="shared" si="1"/>
        <v>5</v>
      </c>
      <c r="I37" s="1">
        <f t="shared" si="1"/>
        <v>5</v>
      </c>
      <c r="J37" s="1">
        <f t="shared" si="1"/>
        <v>5</v>
      </c>
      <c r="K37" s="1">
        <f t="shared" si="1"/>
        <v>5</v>
      </c>
      <c r="L37" s="1">
        <f t="shared" si="1"/>
        <v>3</v>
      </c>
      <c r="M37" s="1">
        <f t="shared" si="1"/>
        <v>2</v>
      </c>
      <c r="N37" s="1">
        <f t="shared" si="1"/>
        <v>2</v>
      </c>
      <c r="O37" s="1">
        <f t="shared" si="1"/>
        <v>2</v>
      </c>
      <c r="P37" s="1">
        <f t="shared" si="1"/>
        <v>4</v>
      </c>
      <c r="Q37" s="1">
        <f t="shared" si="1"/>
        <v>1</v>
      </c>
      <c r="R37" s="1">
        <f t="shared" si="1"/>
        <v>3</v>
      </c>
      <c r="S37" s="1">
        <f t="shared" si="1"/>
        <v>3</v>
      </c>
      <c r="T37" s="1">
        <f t="shared" si="1"/>
        <v>4</v>
      </c>
      <c r="U37" s="1">
        <f t="shared" si="1"/>
        <v>1</v>
      </c>
      <c r="V37" s="1">
        <f t="shared" si="1"/>
        <v>4</v>
      </c>
      <c r="W37" s="1">
        <f t="shared" si="1"/>
        <v>3</v>
      </c>
      <c r="X37" s="1">
        <f t="shared" si="1"/>
        <v>1</v>
      </c>
      <c r="Y37" s="1">
        <f t="shared" si="1"/>
        <v>5</v>
      </c>
      <c r="Z37" s="1">
        <f t="shared" si="1"/>
        <v>2</v>
      </c>
      <c r="AA37" s="1">
        <f t="shared" si="1"/>
        <v>3</v>
      </c>
      <c r="AB37" s="1">
        <f t="shared" si="1"/>
        <v>4</v>
      </c>
      <c r="AC37" s="1">
        <f t="shared" si="1"/>
        <v>5</v>
      </c>
      <c r="AD37" s="1">
        <f t="shared" si="1"/>
        <v>1</v>
      </c>
      <c r="AE37" s="1">
        <f t="shared" si="1"/>
        <v>5</v>
      </c>
      <c r="AF37" s="1">
        <f t="shared" si="1"/>
        <v>4</v>
      </c>
      <c r="AG37" s="1">
        <f t="shared" si="1"/>
        <v>3</v>
      </c>
      <c r="AH37" s="1">
        <f t="shared" si="1"/>
        <v>3</v>
      </c>
      <c r="AI37" s="1">
        <f t="shared" si="1"/>
        <v>5</v>
      </c>
      <c r="AJ37" s="1">
        <f t="shared" si="1"/>
        <v>4</v>
      </c>
      <c r="AK37" s="1">
        <f t="shared" si="1"/>
        <v>1</v>
      </c>
      <c r="AL37" s="1">
        <f t="shared" si="1"/>
        <v>4</v>
      </c>
      <c r="AM37" s="1">
        <f t="shared" si="1"/>
        <v>5</v>
      </c>
      <c r="AN37" s="1">
        <f t="shared" si="1"/>
        <v>4</v>
      </c>
      <c r="AO37" s="1">
        <f t="shared" si="1"/>
        <v>4</v>
      </c>
      <c r="AP37" s="1">
        <f t="shared" si="1"/>
        <v>3</v>
      </c>
      <c r="AQ37" s="1">
        <f t="shared" si="1"/>
        <v>1</v>
      </c>
      <c r="AR37" s="1">
        <f t="shared" si="1"/>
        <v>2</v>
      </c>
      <c r="AS37" s="1">
        <f t="shared" si="1"/>
        <v>4</v>
      </c>
      <c r="AT37" s="1">
        <f t="shared" si="1"/>
        <v>4</v>
      </c>
      <c r="AU37" s="1">
        <f t="shared" si="1"/>
        <v>2</v>
      </c>
      <c r="AV37" s="1">
        <f t="shared" si="1"/>
        <v>4</v>
      </c>
      <c r="AW37" s="1">
        <f t="shared" si="1"/>
        <v>3</v>
      </c>
      <c r="AX37" s="1">
        <f t="shared" si="1"/>
        <v>2</v>
      </c>
    </row>
    <row r="38" ht="14.25" customHeight="1">
      <c r="A38" s="1">
        <f t="shared" ref="A38:AX38" si="2">+RANDBETWEEN(1,5)</f>
        <v>4</v>
      </c>
      <c r="B38" s="1">
        <f t="shared" si="2"/>
        <v>3</v>
      </c>
      <c r="C38" s="1">
        <f t="shared" si="2"/>
        <v>5</v>
      </c>
      <c r="D38" s="1">
        <f t="shared" si="2"/>
        <v>5</v>
      </c>
      <c r="E38" s="1">
        <f t="shared" si="2"/>
        <v>5</v>
      </c>
      <c r="F38" s="1">
        <f t="shared" si="2"/>
        <v>3</v>
      </c>
      <c r="G38" s="1">
        <f t="shared" si="2"/>
        <v>1</v>
      </c>
      <c r="H38" s="1">
        <f t="shared" si="2"/>
        <v>2</v>
      </c>
      <c r="I38" s="1">
        <f t="shared" si="2"/>
        <v>2</v>
      </c>
      <c r="J38" s="1">
        <f t="shared" si="2"/>
        <v>2</v>
      </c>
      <c r="K38" s="1">
        <f t="shared" si="2"/>
        <v>1</v>
      </c>
      <c r="L38" s="1">
        <f t="shared" si="2"/>
        <v>4</v>
      </c>
      <c r="M38" s="1">
        <f t="shared" si="2"/>
        <v>5</v>
      </c>
      <c r="N38" s="1">
        <f t="shared" si="2"/>
        <v>5</v>
      </c>
      <c r="O38" s="1">
        <f t="shared" si="2"/>
        <v>1</v>
      </c>
      <c r="P38" s="1">
        <f t="shared" si="2"/>
        <v>2</v>
      </c>
      <c r="Q38" s="1">
        <f t="shared" si="2"/>
        <v>2</v>
      </c>
      <c r="R38" s="1">
        <f t="shared" si="2"/>
        <v>4</v>
      </c>
      <c r="S38" s="1">
        <f t="shared" si="2"/>
        <v>2</v>
      </c>
      <c r="T38" s="1">
        <f t="shared" si="2"/>
        <v>5</v>
      </c>
      <c r="U38" s="1">
        <f t="shared" si="2"/>
        <v>3</v>
      </c>
      <c r="V38" s="1">
        <f t="shared" si="2"/>
        <v>3</v>
      </c>
      <c r="W38" s="1">
        <f t="shared" si="2"/>
        <v>4</v>
      </c>
      <c r="X38" s="1">
        <f t="shared" si="2"/>
        <v>3</v>
      </c>
      <c r="Y38" s="1">
        <f t="shared" si="2"/>
        <v>2</v>
      </c>
      <c r="Z38" s="1">
        <f t="shared" si="2"/>
        <v>4</v>
      </c>
      <c r="AA38" s="1">
        <f t="shared" si="2"/>
        <v>4</v>
      </c>
      <c r="AB38" s="1">
        <f t="shared" si="2"/>
        <v>5</v>
      </c>
      <c r="AC38" s="1">
        <f t="shared" si="2"/>
        <v>3</v>
      </c>
      <c r="AD38" s="1">
        <f t="shared" si="2"/>
        <v>2</v>
      </c>
      <c r="AE38" s="1">
        <f t="shared" si="2"/>
        <v>2</v>
      </c>
      <c r="AF38" s="1">
        <f t="shared" si="2"/>
        <v>5</v>
      </c>
      <c r="AG38" s="1">
        <f t="shared" si="2"/>
        <v>1</v>
      </c>
      <c r="AH38" s="1">
        <f t="shared" si="2"/>
        <v>4</v>
      </c>
      <c r="AI38" s="1">
        <f t="shared" si="2"/>
        <v>1</v>
      </c>
      <c r="AJ38" s="1">
        <f t="shared" si="2"/>
        <v>4</v>
      </c>
      <c r="AK38" s="1">
        <f t="shared" si="2"/>
        <v>3</v>
      </c>
      <c r="AL38" s="1">
        <f t="shared" si="2"/>
        <v>2</v>
      </c>
      <c r="AM38" s="1">
        <f t="shared" si="2"/>
        <v>1</v>
      </c>
      <c r="AN38" s="1">
        <f t="shared" si="2"/>
        <v>5</v>
      </c>
      <c r="AO38" s="1">
        <f t="shared" si="2"/>
        <v>1</v>
      </c>
      <c r="AP38" s="1">
        <f t="shared" si="2"/>
        <v>5</v>
      </c>
      <c r="AQ38" s="1">
        <f t="shared" si="2"/>
        <v>3</v>
      </c>
      <c r="AR38" s="1">
        <f t="shared" si="2"/>
        <v>3</v>
      </c>
      <c r="AS38" s="1">
        <f t="shared" si="2"/>
        <v>2</v>
      </c>
      <c r="AT38" s="1">
        <f t="shared" si="2"/>
        <v>3</v>
      </c>
      <c r="AU38" s="1">
        <f t="shared" si="2"/>
        <v>5</v>
      </c>
      <c r="AV38" s="1">
        <f t="shared" si="2"/>
        <v>1</v>
      </c>
      <c r="AW38" s="1">
        <f t="shared" si="2"/>
        <v>4</v>
      </c>
      <c r="AX38" s="1">
        <f t="shared" si="2"/>
        <v>4</v>
      </c>
    </row>
    <row r="39" ht="14.25" customHeight="1">
      <c r="A39" s="1">
        <f t="shared" ref="A39:AX39" si="3">+RANDBETWEEN(1,5)</f>
        <v>1</v>
      </c>
      <c r="B39" s="1">
        <f t="shared" si="3"/>
        <v>3</v>
      </c>
      <c r="C39" s="1">
        <f t="shared" si="3"/>
        <v>1</v>
      </c>
      <c r="D39" s="1">
        <f t="shared" si="3"/>
        <v>5</v>
      </c>
      <c r="E39" s="1">
        <f t="shared" si="3"/>
        <v>2</v>
      </c>
      <c r="F39" s="1">
        <f t="shared" si="3"/>
        <v>5</v>
      </c>
      <c r="G39" s="1">
        <f t="shared" si="3"/>
        <v>5</v>
      </c>
      <c r="H39" s="1">
        <f t="shared" si="3"/>
        <v>4</v>
      </c>
      <c r="I39" s="1">
        <f t="shared" si="3"/>
        <v>2</v>
      </c>
      <c r="J39" s="1">
        <f t="shared" si="3"/>
        <v>5</v>
      </c>
      <c r="K39" s="1">
        <f t="shared" si="3"/>
        <v>1</v>
      </c>
      <c r="L39" s="1">
        <f t="shared" si="3"/>
        <v>3</v>
      </c>
      <c r="M39" s="1">
        <f t="shared" si="3"/>
        <v>4</v>
      </c>
      <c r="N39" s="1">
        <f t="shared" si="3"/>
        <v>1</v>
      </c>
      <c r="O39" s="1">
        <f t="shared" si="3"/>
        <v>5</v>
      </c>
      <c r="P39" s="1">
        <f t="shared" si="3"/>
        <v>1</v>
      </c>
      <c r="Q39" s="1">
        <f t="shared" si="3"/>
        <v>1</v>
      </c>
      <c r="R39" s="1">
        <f t="shared" si="3"/>
        <v>3</v>
      </c>
      <c r="S39" s="1">
        <f t="shared" si="3"/>
        <v>1</v>
      </c>
      <c r="T39" s="1">
        <f t="shared" si="3"/>
        <v>2</v>
      </c>
      <c r="U39" s="1">
        <f t="shared" si="3"/>
        <v>3</v>
      </c>
      <c r="V39" s="1">
        <f t="shared" si="3"/>
        <v>2</v>
      </c>
      <c r="W39" s="1">
        <f t="shared" si="3"/>
        <v>1</v>
      </c>
      <c r="X39" s="1">
        <f t="shared" si="3"/>
        <v>5</v>
      </c>
      <c r="Y39" s="1">
        <f t="shared" si="3"/>
        <v>4</v>
      </c>
      <c r="Z39" s="1">
        <f t="shared" si="3"/>
        <v>3</v>
      </c>
      <c r="AA39" s="1">
        <f t="shared" si="3"/>
        <v>4</v>
      </c>
      <c r="AB39" s="1">
        <f t="shared" si="3"/>
        <v>1</v>
      </c>
      <c r="AC39" s="1">
        <f t="shared" si="3"/>
        <v>5</v>
      </c>
      <c r="AD39" s="1">
        <f t="shared" si="3"/>
        <v>5</v>
      </c>
      <c r="AE39" s="1">
        <f t="shared" si="3"/>
        <v>3</v>
      </c>
      <c r="AF39" s="1">
        <f t="shared" si="3"/>
        <v>5</v>
      </c>
      <c r="AG39" s="1">
        <f t="shared" si="3"/>
        <v>5</v>
      </c>
      <c r="AH39" s="1">
        <f t="shared" si="3"/>
        <v>2</v>
      </c>
      <c r="AI39" s="1">
        <f t="shared" si="3"/>
        <v>2</v>
      </c>
      <c r="AJ39" s="1">
        <f t="shared" si="3"/>
        <v>3</v>
      </c>
      <c r="AK39" s="1">
        <f t="shared" si="3"/>
        <v>3</v>
      </c>
      <c r="AL39" s="1">
        <f t="shared" si="3"/>
        <v>3</v>
      </c>
      <c r="AM39" s="1">
        <f t="shared" si="3"/>
        <v>5</v>
      </c>
      <c r="AN39" s="1">
        <f t="shared" si="3"/>
        <v>3</v>
      </c>
      <c r="AO39" s="1">
        <f t="shared" si="3"/>
        <v>4</v>
      </c>
      <c r="AP39" s="1">
        <f t="shared" si="3"/>
        <v>5</v>
      </c>
      <c r="AQ39" s="1">
        <f t="shared" si="3"/>
        <v>5</v>
      </c>
      <c r="AR39" s="1">
        <f t="shared" si="3"/>
        <v>4</v>
      </c>
      <c r="AS39" s="1">
        <f t="shared" si="3"/>
        <v>3</v>
      </c>
      <c r="AT39" s="1">
        <f t="shared" si="3"/>
        <v>4</v>
      </c>
      <c r="AU39" s="1">
        <f t="shared" si="3"/>
        <v>1</v>
      </c>
      <c r="AV39" s="1">
        <f t="shared" si="3"/>
        <v>3</v>
      </c>
      <c r="AW39" s="1">
        <f t="shared" si="3"/>
        <v>4</v>
      </c>
      <c r="AX39" s="1">
        <f t="shared" si="3"/>
        <v>5</v>
      </c>
    </row>
    <row r="40" ht="14.25" customHeight="1">
      <c r="A40" s="1">
        <f t="shared" ref="A40:AX40" si="4">+RANDBETWEEN(1,5)</f>
        <v>5</v>
      </c>
      <c r="B40" s="1">
        <f t="shared" si="4"/>
        <v>4</v>
      </c>
      <c r="C40" s="1">
        <f t="shared" si="4"/>
        <v>4</v>
      </c>
      <c r="D40" s="1">
        <f t="shared" si="4"/>
        <v>5</v>
      </c>
      <c r="E40" s="1">
        <f t="shared" si="4"/>
        <v>3</v>
      </c>
      <c r="F40" s="1">
        <f t="shared" si="4"/>
        <v>4</v>
      </c>
      <c r="G40" s="1">
        <f t="shared" si="4"/>
        <v>3</v>
      </c>
      <c r="H40" s="1">
        <f t="shared" si="4"/>
        <v>2</v>
      </c>
      <c r="I40" s="1">
        <f t="shared" si="4"/>
        <v>2</v>
      </c>
      <c r="J40" s="1">
        <f t="shared" si="4"/>
        <v>1</v>
      </c>
      <c r="K40" s="1">
        <f t="shared" si="4"/>
        <v>3</v>
      </c>
      <c r="L40" s="1">
        <f t="shared" si="4"/>
        <v>4</v>
      </c>
      <c r="M40" s="1">
        <f t="shared" si="4"/>
        <v>3</v>
      </c>
      <c r="N40" s="1">
        <f t="shared" si="4"/>
        <v>4</v>
      </c>
      <c r="O40" s="1">
        <f t="shared" si="4"/>
        <v>1</v>
      </c>
      <c r="P40" s="1">
        <f t="shared" si="4"/>
        <v>5</v>
      </c>
      <c r="Q40" s="1">
        <f t="shared" si="4"/>
        <v>5</v>
      </c>
      <c r="R40" s="1">
        <f t="shared" si="4"/>
        <v>2</v>
      </c>
      <c r="S40" s="1">
        <f t="shared" si="4"/>
        <v>1</v>
      </c>
      <c r="T40" s="1">
        <f t="shared" si="4"/>
        <v>1</v>
      </c>
      <c r="U40" s="1">
        <f t="shared" si="4"/>
        <v>3</v>
      </c>
      <c r="V40" s="1">
        <f t="shared" si="4"/>
        <v>1</v>
      </c>
      <c r="W40" s="1">
        <f t="shared" si="4"/>
        <v>5</v>
      </c>
      <c r="X40" s="1">
        <f t="shared" si="4"/>
        <v>2</v>
      </c>
      <c r="Y40" s="1">
        <f t="shared" si="4"/>
        <v>4</v>
      </c>
      <c r="Z40" s="1">
        <f t="shared" si="4"/>
        <v>3</v>
      </c>
      <c r="AA40" s="1">
        <f t="shared" si="4"/>
        <v>5</v>
      </c>
      <c r="AB40" s="1">
        <f t="shared" si="4"/>
        <v>5</v>
      </c>
      <c r="AC40" s="1">
        <f t="shared" si="4"/>
        <v>1</v>
      </c>
      <c r="AD40" s="1">
        <f t="shared" si="4"/>
        <v>2</v>
      </c>
      <c r="AE40" s="1">
        <f t="shared" si="4"/>
        <v>5</v>
      </c>
      <c r="AF40" s="1">
        <f t="shared" si="4"/>
        <v>3</v>
      </c>
      <c r="AG40" s="1">
        <f t="shared" si="4"/>
        <v>1</v>
      </c>
      <c r="AH40" s="1">
        <f t="shared" si="4"/>
        <v>3</v>
      </c>
      <c r="AI40" s="1">
        <f t="shared" si="4"/>
        <v>2</v>
      </c>
      <c r="AJ40" s="1">
        <f t="shared" si="4"/>
        <v>5</v>
      </c>
      <c r="AK40" s="1">
        <f t="shared" si="4"/>
        <v>4</v>
      </c>
      <c r="AL40" s="1">
        <f t="shared" si="4"/>
        <v>5</v>
      </c>
      <c r="AM40" s="1">
        <f t="shared" si="4"/>
        <v>1</v>
      </c>
      <c r="AN40" s="1">
        <f t="shared" si="4"/>
        <v>3</v>
      </c>
      <c r="AO40" s="1">
        <f t="shared" si="4"/>
        <v>5</v>
      </c>
      <c r="AP40" s="1">
        <f t="shared" si="4"/>
        <v>4</v>
      </c>
      <c r="AQ40" s="1">
        <f t="shared" si="4"/>
        <v>3</v>
      </c>
      <c r="AR40" s="1">
        <f t="shared" si="4"/>
        <v>3</v>
      </c>
      <c r="AS40" s="1">
        <f t="shared" si="4"/>
        <v>4</v>
      </c>
      <c r="AT40" s="1">
        <f t="shared" si="4"/>
        <v>4</v>
      </c>
      <c r="AU40" s="1">
        <f t="shared" si="4"/>
        <v>3</v>
      </c>
      <c r="AV40" s="1">
        <f t="shared" si="4"/>
        <v>4</v>
      </c>
      <c r="AW40" s="1">
        <f t="shared" si="4"/>
        <v>1</v>
      </c>
      <c r="AX40" s="1">
        <f t="shared" si="4"/>
        <v>3</v>
      </c>
    </row>
    <row r="41" ht="14.25" customHeight="1">
      <c r="A41" s="1">
        <f t="shared" ref="A41:AX41" si="5">+RANDBETWEEN(1,5)</f>
        <v>2</v>
      </c>
      <c r="B41" s="1">
        <f t="shared" si="5"/>
        <v>2</v>
      </c>
      <c r="C41" s="1">
        <f t="shared" si="5"/>
        <v>1</v>
      </c>
      <c r="D41" s="1">
        <f t="shared" si="5"/>
        <v>5</v>
      </c>
      <c r="E41" s="1">
        <f t="shared" si="5"/>
        <v>5</v>
      </c>
      <c r="F41" s="1">
        <f t="shared" si="5"/>
        <v>2</v>
      </c>
      <c r="G41" s="1">
        <f t="shared" si="5"/>
        <v>2</v>
      </c>
      <c r="H41" s="1">
        <f t="shared" si="5"/>
        <v>2</v>
      </c>
      <c r="I41" s="1">
        <f t="shared" si="5"/>
        <v>5</v>
      </c>
      <c r="J41" s="1">
        <f t="shared" si="5"/>
        <v>1</v>
      </c>
      <c r="K41" s="1">
        <f t="shared" si="5"/>
        <v>3</v>
      </c>
      <c r="L41" s="1">
        <f t="shared" si="5"/>
        <v>5</v>
      </c>
      <c r="M41" s="1">
        <f t="shared" si="5"/>
        <v>3</v>
      </c>
      <c r="N41" s="1">
        <f t="shared" si="5"/>
        <v>5</v>
      </c>
      <c r="O41" s="1">
        <f t="shared" si="5"/>
        <v>2</v>
      </c>
      <c r="P41" s="1">
        <f t="shared" si="5"/>
        <v>2</v>
      </c>
      <c r="Q41" s="1">
        <f t="shared" si="5"/>
        <v>5</v>
      </c>
      <c r="R41" s="1">
        <f t="shared" si="5"/>
        <v>5</v>
      </c>
      <c r="S41" s="1">
        <f t="shared" si="5"/>
        <v>3</v>
      </c>
      <c r="T41" s="1">
        <f t="shared" si="5"/>
        <v>5</v>
      </c>
      <c r="U41" s="1">
        <f t="shared" si="5"/>
        <v>1</v>
      </c>
      <c r="V41" s="1">
        <f t="shared" si="5"/>
        <v>1</v>
      </c>
      <c r="W41" s="1">
        <f t="shared" si="5"/>
        <v>2</v>
      </c>
      <c r="X41" s="1">
        <f t="shared" si="5"/>
        <v>3</v>
      </c>
      <c r="Y41" s="1">
        <f t="shared" si="5"/>
        <v>4</v>
      </c>
      <c r="Z41" s="1">
        <f t="shared" si="5"/>
        <v>1</v>
      </c>
      <c r="AA41" s="1">
        <f t="shared" si="5"/>
        <v>1</v>
      </c>
      <c r="AB41" s="1">
        <f t="shared" si="5"/>
        <v>1</v>
      </c>
      <c r="AC41" s="1">
        <f t="shared" si="5"/>
        <v>2</v>
      </c>
      <c r="AD41" s="1">
        <f t="shared" si="5"/>
        <v>1</v>
      </c>
      <c r="AE41" s="1">
        <f t="shared" si="5"/>
        <v>2</v>
      </c>
      <c r="AF41" s="1">
        <f t="shared" si="5"/>
        <v>1</v>
      </c>
      <c r="AG41" s="1">
        <f t="shared" si="5"/>
        <v>2</v>
      </c>
      <c r="AH41" s="1">
        <f t="shared" si="5"/>
        <v>5</v>
      </c>
      <c r="AI41" s="1">
        <f t="shared" si="5"/>
        <v>3</v>
      </c>
      <c r="AJ41" s="1">
        <f t="shared" si="5"/>
        <v>5</v>
      </c>
      <c r="AK41" s="1">
        <f t="shared" si="5"/>
        <v>4</v>
      </c>
      <c r="AL41" s="1">
        <f t="shared" si="5"/>
        <v>5</v>
      </c>
      <c r="AM41" s="1">
        <f t="shared" si="5"/>
        <v>5</v>
      </c>
      <c r="AN41" s="1">
        <f t="shared" si="5"/>
        <v>5</v>
      </c>
      <c r="AO41" s="1">
        <f t="shared" si="5"/>
        <v>2</v>
      </c>
      <c r="AP41" s="1">
        <f t="shared" si="5"/>
        <v>4</v>
      </c>
      <c r="AQ41" s="1">
        <f t="shared" si="5"/>
        <v>2</v>
      </c>
      <c r="AR41" s="1">
        <f t="shared" si="5"/>
        <v>5</v>
      </c>
      <c r="AS41" s="1">
        <f t="shared" si="5"/>
        <v>1</v>
      </c>
      <c r="AT41" s="1">
        <f t="shared" si="5"/>
        <v>3</v>
      </c>
      <c r="AU41" s="1">
        <f t="shared" si="5"/>
        <v>2</v>
      </c>
      <c r="AV41" s="1">
        <f t="shared" si="5"/>
        <v>5</v>
      </c>
      <c r="AW41" s="1">
        <f t="shared" si="5"/>
        <v>5</v>
      </c>
      <c r="AX41" s="1">
        <f t="shared" si="5"/>
        <v>5</v>
      </c>
    </row>
    <row r="42" ht="14.25" customHeight="1"/>
    <row r="43" ht="14.25" customHeight="1"/>
    <row r="44" ht="14.25" customHeight="1">
      <c r="A44" s="1" t="s">
        <v>473</v>
      </c>
    </row>
    <row r="45" ht="14.25" customHeight="1"/>
    <row r="46" ht="14.25" customHeight="1">
      <c r="A46" s="1" t="s">
        <v>472</v>
      </c>
    </row>
    <row r="47" ht="14.25" customHeight="1">
      <c r="A47" s="37">
        <v>1.0</v>
      </c>
      <c r="B47" s="37">
        <v>2.0</v>
      </c>
      <c r="C47" s="37">
        <v>3.0</v>
      </c>
      <c r="D47" s="37">
        <v>4.0</v>
      </c>
      <c r="E47" s="37">
        <v>5.0</v>
      </c>
      <c r="F47" s="37">
        <v>6.0</v>
      </c>
      <c r="G47" s="37">
        <v>7.0</v>
      </c>
      <c r="H47" s="37">
        <v>8.0</v>
      </c>
      <c r="I47" s="37">
        <v>9.0</v>
      </c>
      <c r="J47" s="37">
        <v>10.0</v>
      </c>
      <c r="K47" s="37">
        <v>11.0</v>
      </c>
      <c r="L47" s="37">
        <v>12.0</v>
      </c>
      <c r="M47" s="37">
        <v>13.0</v>
      </c>
      <c r="N47" s="37">
        <v>14.0</v>
      </c>
      <c r="O47" s="37">
        <v>15.0</v>
      </c>
      <c r="P47" s="37">
        <v>16.0</v>
      </c>
      <c r="Q47" s="37">
        <v>17.0</v>
      </c>
      <c r="R47" s="37">
        <v>18.0</v>
      </c>
      <c r="S47" s="37">
        <v>19.0</v>
      </c>
      <c r="T47" s="37">
        <v>20.0</v>
      </c>
      <c r="U47" s="37">
        <v>21.0</v>
      </c>
      <c r="V47" s="37">
        <v>22.0</v>
      </c>
      <c r="W47" s="37">
        <v>23.0</v>
      </c>
      <c r="X47" s="37">
        <v>24.0</v>
      </c>
      <c r="Y47" s="37">
        <v>25.0</v>
      </c>
      <c r="Z47" s="37">
        <v>26.0</v>
      </c>
      <c r="AA47" s="37">
        <v>27.0</v>
      </c>
      <c r="AB47" s="37">
        <v>28.0</v>
      </c>
      <c r="AC47" s="37">
        <v>29.0</v>
      </c>
      <c r="AD47" s="37">
        <v>30.0</v>
      </c>
      <c r="AE47" s="37">
        <v>31.0</v>
      </c>
      <c r="AF47" s="37">
        <v>32.0</v>
      </c>
      <c r="AG47" s="37">
        <v>33.0</v>
      </c>
      <c r="AH47" s="37">
        <v>34.0</v>
      </c>
      <c r="AI47" s="37">
        <v>35.0</v>
      </c>
      <c r="AJ47" s="37">
        <v>36.0</v>
      </c>
      <c r="AK47" s="37">
        <v>37.0</v>
      </c>
      <c r="AL47" s="37">
        <v>38.0</v>
      </c>
      <c r="AM47" s="37">
        <v>39.0</v>
      </c>
      <c r="AN47" s="37">
        <v>40.0</v>
      </c>
      <c r="AO47" s="37">
        <v>41.0</v>
      </c>
      <c r="AP47" s="37">
        <v>42.0</v>
      </c>
      <c r="AQ47" s="37">
        <v>43.0</v>
      </c>
      <c r="AR47" s="37">
        <v>44.0</v>
      </c>
      <c r="AS47" s="37">
        <v>45.0</v>
      </c>
      <c r="AT47" s="37">
        <v>46.0</v>
      </c>
      <c r="AU47" s="37">
        <v>47.0</v>
      </c>
      <c r="AV47" s="37">
        <v>48.0</v>
      </c>
      <c r="AW47" s="37">
        <v>49.0</v>
      </c>
      <c r="AX47" s="37">
        <v>50.0</v>
      </c>
    </row>
    <row r="48" ht="14.25" customHeight="1">
      <c r="A48" s="1" t="str">
        <f t="shared" ref="A48:AX48" si="6">+VLOOKUP(A29,$A$2:$C$6,2,TRUE)</f>
        <v>Jose Pablo</v>
      </c>
      <c r="B48" s="1" t="str">
        <f t="shared" si="6"/>
        <v>Valeria</v>
      </c>
      <c r="C48" s="1" t="str">
        <f t="shared" si="6"/>
        <v>Brandon</v>
      </c>
      <c r="D48" s="1" t="str">
        <f t="shared" si="6"/>
        <v>Jose Pablo</v>
      </c>
      <c r="E48" s="1" t="str">
        <f t="shared" si="6"/>
        <v>Valeria</v>
      </c>
      <c r="F48" s="1" t="str">
        <f t="shared" si="6"/>
        <v>David</v>
      </c>
      <c r="G48" s="1" t="str">
        <f t="shared" si="6"/>
        <v>David</v>
      </c>
      <c r="H48" s="1" t="str">
        <f t="shared" si="6"/>
        <v>Valeria</v>
      </c>
      <c r="I48" s="1" t="str">
        <f t="shared" si="6"/>
        <v>David</v>
      </c>
      <c r="J48" s="1" t="str">
        <f t="shared" si="6"/>
        <v>David</v>
      </c>
      <c r="K48" s="1" t="str">
        <f t="shared" si="6"/>
        <v>Jose Pablo</v>
      </c>
      <c r="L48" s="1" t="str">
        <f t="shared" si="6"/>
        <v>Jose Pablo</v>
      </c>
      <c r="M48" s="1" t="str">
        <f t="shared" si="6"/>
        <v>Manrique</v>
      </c>
      <c r="N48" s="1" t="str">
        <f t="shared" si="6"/>
        <v>Jose Pablo</v>
      </c>
      <c r="O48" s="1" t="str">
        <f t="shared" si="6"/>
        <v>Manrique</v>
      </c>
      <c r="P48" s="1" t="str">
        <f t="shared" si="6"/>
        <v>Valeria</v>
      </c>
      <c r="Q48" s="1" t="str">
        <f t="shared" si="6"/>
        <v>David</v>
      </c>
      <c r="R48" s="1" t="str">
        <f t="shared" si="6"/>
        <v>Jose Pablo</v>
      </c>
      <c r="S48" s="1" t="str">
        <f t="shared" si="6"/>
        <v>Valeria</v>
      </c>
      <c r="T48" s="1" t="str">
        <f t="shared" si="6"/>
        <v>Manrique</v>
      </c>
      <c r="U48" s="1" t="str">
        <f t="shared" si="6"/>
        <v>Brandon</v>
      </c>
      <c r="V48" s="1" t="str">
        <f t="shared" si="6"/>
        <v>Valeria</v>
      </c>
      <c r="W48" s="1" t="str">
        <f t="shared" si="6"/>
        <v>Jose Pablo</v>
      </c>
      <c r="X48" s="1" t="str">
        <f t="shared" si="6"/>
        <v>Valeria</v>
      </c>
      <c r="Y48" s="1" t="str">
        <f t="shared" si="6"/>
        <v>Valeria</v>
      </c>
      <c r="Z48" s="1" t="str">
        <f t="shared" si="6"/>
        <v>Valeria</v>
      </c>
      <c r="AA48" s="1" t="str">
        <f t="shared" si="6"/>
        <v>Valeria</v>
      </c>
      <c r="AB48" s="1" t="str">
        <f t="shared" si="6"/>
        <v>Jose Pablo</v>
      </c>
      <c r="AC48" s="1" t="str">
        <f t="shared" si="6"/>
        <v>Jose Pablo</v>
      </c>
      <c r="AD48" s="1" t="str">
        <f t="shared" si="6"/>
        <v>Manrique</v>
      </c>
      <c r="AE48" s="1" t="str">
        <f t="shared" si="6"/>
        <v>Manrique</v>
      </c>
      <c r="AF48" s="1" t="str">
        <f t="shared" si="6"/>
        <v>Manrique</v>
      </c>
      <c r="AG48" s="1" t="str">
        <f t="shared" si="6"/>
        <v>Valeria</v>
      </c>
      <c r="AH48" s="1" t="str">
        <f t="shared" si="6"/>
        <v>Jose Pablo</v>
      </c>
      <c r="AI48" s="1" t="str">
        <f t="shared" si="6"/>
        <v>Manrique</v>
      </c>
      <c r="AJ48" s="1" t="str">
        <f t="shared" si="6"/>
        <v>Jose Pablo</v>
      </c>
      <c r="AK48" s="1" t="str">
        <f t="shared" si="6"/>
        <v>David</v>
      </c>
      <c r="AL48" s="1" t="str">
        <f t="shared" si="6"/>
        <v>Valeria</v>
      </c>
      <c r="AM48" s="1" t="str">
        <f t="shared" si="6"/>
        <v>Manrique</v>
      </c>
      <c r="AN48" s="1" t="str">
        <f t="shared" si="6"/>
        <v>David</v>
      </c>
      <c r="AO48" s="1" t="str">
        <f t="shared" si="6"/>
        <v>Valeria</v>
      </c>
      <c r="AP48" s="1" t="str">
        <f t="shared" si="6"/>
        <v>Brandon</v>
      </c>
      <c r="AQ48" s="1" t="str">
        <f t="shared" si="6"/>
        <v>Jose Pablo</v>
      </c>
      <c r="AR48" s="1" t="str">
        <f t="shared" si="6"/>
        <v>Jose Pablo</v>
      </c>
      <c r="AS48" s="1" t="str">
        <f t="shared" si="6"/>
        <v>David</v>
      </c>
      <c r="AT48" s="1" t="str">
        <f t="shared" si="6"/>
        <v>Manrique</v>
      </c>
      <c r="AU48" s="1" t="str">
        <f t="shared" si="6"/>
        <v>Valeria</v>
      </c>
      <c r="AV48" s="1" t="str">
        <f t="shared" si="6"/>
        <v>Brandon</v>
      </c>
      <c r="AW48" s="1" t="str">
        <f t="shared" si="6"/>
        <v>Brandon</v>
      </c>
      <c r="AX48" s="1" t="str">
        <f t="shared" si="6"/>
        <v>Manrique</v>
      </c>
    </row>
    <row r="49" ht="14.25" customHeight="1">
      <c r="A49" s="1" t="str">
        <f t="shared" ref="A49:AX49" si="7">+VLOOKUP(A30,$A$2:$C$6,2,TRUE)</f>
        <v>Manrique</v>
      </c>
      <c r="B49" s="1" t="str">
        <f t="shared" si="7"/>
        <v>Jose Pablo</v>
      </c>
      <c r="C49" s="1" t="str">
        <f t="shared" si="7"/>
        <v>Manrique</v>
      </c>
      <c r="D49" s="1" t="str">
        <f t="shared" si="7"/>
        <v>Jose Pablo</v>
      </c>
      <c r="E49" s="1" t="str">
        <f t="shared" si="7"/>
        <v>Brandon</v>
      </c>
      <c r="F49" s="1" t="str">
        <f t="shared" si="7"/>
        <v>Valeria</v>
      </c>
      <c r="G49" s="1" t="str">
        <f t="shared" si="7"/>
        <v>Jose Pablo</v>
      </c>
      <c r="H49" s="1" t="str">
        <f t="shared" si="7"/>
        <v>Brandon</v>
      </c>
      <c r="I49" s="1" t="str">
        <f t="shared" si="7"/>
        <v>Jose Pablo</v>
      </c>
      <c r="J49" s="1" t="str">
        <f t="shared" si="7"/>
        <v>Valeria</v>
      </c>
      <c r="K49" s="1" t="str">
        <f t="shared" si="7"/>
        <v>David</v>
      </c>
      <c r="L49" s="1" t="str">
        <f t="shared" si="7"/>
        <v>Brandon</v>
      </c>
      <c r="M49" s="1" t="str">
        <f t="shared" si="7"/>
        <v>David</v>
      </c>
      <c r="N49" s="1" t="str">
        <f t="shared" si="7"/>
        <v>Brandon</v>
      </c>
      <c r="O49" s="1" t="str">
        <f t="shared" si="7"/>
        <v>Jose Pablo</v>
      </c>
      <c r="P49" s="1" t="str">
        <f t="shared" si="7"/>
        <v>Valeria</v>
      </c>
      <c r="Q49" s="1" t="str">
        <f t="shared" si="7"/>
        <v>Manrique</v>
      </c>
      <c r="R49" s="1" t="str">
        <f t="shared" si="7"/>
        <v>David</v>
      </c>
      <c r="S49" s="1" t="str">
        <f t="shared" si="7"/>
        <v>Manrique</v>
      </c>
      <c r="T49" s="1" t="str">
        <f t="shared" si="7"/>
        <v>Jose Pablo</v>
      </c>
      <c r="U49" s="1" t="str">
        <f t="shared" si="7"/>
        <v>Jose Pablo</v>
      </c>
      <c r="V49" s="1" t="str">
        <f t="shared" si="7"/>
        <v>Jose Pablo</v>
      </c>
      <c r="W49" s="1" t="str">
        <f t="shared" si="7"/>
        <v>Valeria</v>
      </c>
      <c r="X49" s="1" t="str">
        <f t="shared" si="7"/>
        <v>Jose Pablo</v>
      </c>
      <c r="Y49" s="1" t="str">
        <f t="shared" si="7"/>
        <v>Manrique</v>
      </c>
      <c r="Z49" s="1" t="str">
        <f t="shared" si="7"/>
        <v>Jose Pablo</v>
      </c>
      <c r="AA49" s="1" t="str">
        <f t="shared" si="7"/>
        <v>Valeria</v>
      </c>
      <c r="AB49" s="1" t="str">
        <f t="shared" si="7"/>
        <v>David</v>
      </c>
      <c r="AC49" s="1" t="str">
        <f t="shared" si="7"/>
        <v>Brandon</v>
      </c>
      <c r="AD49" s="1" t="str">
        <f t="shared" si="7"/>
        <v>David</v>
      </c>
      <c r="AE49" s="1" t="str">
        <f t="shared" si="7"/>
        <v>Manrique</v>
      </c>
      <c r="AF49" s="1" t="str">
        <f t="shared" si="7"/>
        <v>Manrique</v>
      </c>
      <c r="AG49" s="1" t="str">
        <f t="shared" si="7"/>
        <v>David</v>
      </c>
      <c r="AH49" s="1" t="str">
        <f t="shared" si="7"/>
        <v>Valeria</v>
      </c>
      <c r="AI49" s="1" t="str">
        <f t="shared" si="7"/>
        <v>Manrique</v>
      </c>
      <c r="AJ49" s="1" t="str">
        <f t="shared" si="7"/>
        <v>Manrique</v>
      </c>
      <c r="AK49" s="1" t="str">
        <f t="shared" si="7"/>
        <v>David</v>
      </c>
      <c r="AL49" s="1" t="str">
        <f t="shared" si="7"/>
        <v>Jose Pablo</v>
      </c>
      <c r="AM49" s="1" t="str">
        <f t="shared" si="7"/>
        <v>Manrique</v>
      </c>
      <c r="AN49" s="1" t="str">
        <f t="shared" si="7"/>
        <v>Jose Pablo</v>
      </c>
      <c r="AO49" s="1" t="str">
        <f t="shared" si="7"/>
        <v>Manrique</v>
      </c>
      <c r="AP49" s="1" t="str">
        <f t="shared" si="7"/>
        <v>Jose Pablo</v>
      </c>
      <c r="AQ49" s="1" t="str">
        <f t="shared" si="7"/>
        <v>Manrique</v>
      </c>
      <c r="AR49" s="1" t="str">
        <f t="shared" si="7"/>
        <v>Brandon</v>
      </c>
      <c r="AS49" s="1" t="str">
        <f t="shared" si="7"/>
        <v>Valeria</v>
      </c>
      <c r="AT49" s="1" t="str">
        <f t="shared" si="7"/>
        <v>Brandon</v>
      </c>
      <c r="AU49" s="1" t="str">
        <f t="shared" si="7"/>
        <v>David</v>
      </c>
      <c r="AV49" s="1" t="str">
        <f t="shared" si="7"/>
        <v>Jose Pablo</v>
      </c>
      <c r="AW49" s="1" t="str">
        <f t="shared" si="7"/>
        <v>Brandon</v>
      </c>
      <c r="AX49" s="1" t="str">
        <f t="shared" si="7"/>
        <v>Valeria</v>
      </c>
    </row>
    <row r="50" ht="14.25" customHeight="1">
      <c r="A50" s="1" t="str">
        <f t="shared" ref="A50:AX50" si="8">+VLOOKUP(A31,$A$2:$C$6,2,TRUE)</f>
        <v>Valeria</v>
      </c>
      <c r="B50" s="1" t="str">
        <f t="shared" si="8"/>
        <v>Manrique</v>
      </c>
      <c r="C50" s="1" t="str">
        <f t="shared" si="8"/>
        <v>Jose Pablo</v>
      </c>
      <c r="D50" s="1" t="str">
        <f t="shared" si="8"/>
        <v>Brandon</v>
      </c>
      <c r="E50" s="1" t="str">
        <f t="shared" si="8"/>
        <v>David</v>
      </c>
      <c r="F50" s="1" t="str">
        <f t="shared" si="8"/>
        <v>Manrique</v>
      </c>
      <c r="G50" s="1" t="str">
        <f t="shared" si="8"/>
        <v>Jose Pablo</v>
      </c>
      <c r="H50" s="1" t="str">
        <f t="shared" si="8"/>
        <v>Valeria</v>
      </c>
      <c r="I50" s="1" t="str">
        <f t="shared" si="8"/>
        <v>Valeria</v>
      </c>
      <c r="J50" s="1" t="str">
        <f t="shared" si="8"/>
        <v>David</v>
      </c>
      <c r="K50" s="1" t="str">
        <f t="shared" si="8"/>
        <v>Brandon</v>
      </c>
      <c r="L50" s="1" t="str">
        <f t="shared" si="8"/>
        <v>Manrique</v>
      </c>
      <c r="M50" s="1" t="str">
        <f t="shared" si="8"/>
        <v>Brandon</v>
      </c>
      <c r="N50" s="1" t="str">
        <f t="shared" si="8"/>
        <v>Jose Pablo</v>
      </c>
      <c r="O50" s="1" t="str">
        <f t="shared" si="8"/>
        <v>Jose Pablo</v>
      </c>
      <c r="P50" s="1" t="str">
        <f t="shared" si="8"/>
        <v>Valeria</v>
      </c>
      <c r="Q50" s="1" t="str">
        <f t="shared" si="8"/>
        <v>Manrique</v>
      </c>
      <c r="R50" s="1" t="str">
        <f t="shared" si="8"/>
        <v>Brandon</v>
      </c>
      <c r="S50" s="1" t="str">
        <f t="shared" si="8"/>
        <v>Brandon</v>
      </c>
      <c r="T50" s="1" t="str">
        <f t="shared" si="8"/>
        <v>Brandon</v>
      </c>
      <c r="U50" s="1" t="str">
        <f t="shared" si="8"/>
        <v>David</v>
      </c>
      <c r="V50" s="1" t="str">
        <f t="shared" si="8"/>
        <v>David</v>
      </c>
      <c r="W50" s="1" t="str">
        <f t="shared" si="8"/>
        <v>David</v>
      </c>
      <c r="X50" s="1" t="str">
        <f t="shared" si="8"/>
        <v>David</v>
      </c>
      <c r="Y50" s="1" t="str">
        <f t="shared" si="8"/>
        <v>Jose Pablo</v>
      </c>
      <c r="Z50" s="1" t="str">
        <f t="shared" si="8"/>
        <v>Manrique</v>
      </c>
      <c r="AA50" s="1" t="str">
        <f t="shared" si="8"/>
        <v>David</v>
      </c>
      <c r="AB50" s="1" t="str">
        <f t="shared" si="8"/>
        <v>Manrique</v>
      </c>
      <c r="AC50" s="1" t="str">
        <f t="shared" si="8"/>
        <v>Manrique</v>
      </c>
      <c r="AD50" s="1" t="str">
        <f t="shared" si="8"/>
        <v>David</v>
      </c>
      <c r="AE50" s="1" t="str">
        <f t="shared" si="8"/>
        <v>Manrique</v>
      </c>
      <c r="AF50" s="1" t="str">
        <f t="shared" si="8"/>
        <v>Jose Pablo</v>
      </c>
      <c r="AG50" s="1" t="str">
        <f t="shared" si="8"/>
        <v>Jose Pablo</v>
      </c>
      <c r="AH50" s="1" t="str">
        <f t="shared" si="8"/>
        <v>Brandon</v>
      </c>
      <c r="AI50" s="1" t="str">
        <f t="shared" si="8"/>
        <v>Jose Pablo</v>
      </c>
      <c r="AJ50" s="1" t="str">
        <f t="shared" si="8"/>
        <v>Valeria</v>
      </c>
      <c r="AK50" s="1" t="str">
        <f t="shared" si="8"/>
        <v>Jose Pablo</v>
      </c>
      <c r="AL50" s="1" t="str">
        <f t="shared" si="8"/>
        <v>Brandon</v>
      </c>
      <c r="AM50" s="1" t="str">
        <f t="shared" si="8"/>
        <v>Valeria</v>
      </c>
      <c r="AN50" s="1" t="str">
        <f t="shared" si="8"/>
        <v>Brandon</v>
      </c>
      <c r="AO50" s="1" t="str">
        <f t="shared" si="8"/>
        <v>Valeria</v>
      </c>
      <c r="AP50" s="1" t="str">
        <f t="shared" si="8"/>
        <v>Manrique</v>
      </c>
      <c r="AQ50" s="1" t="str">
        <f t="shared" si="8"/>
        <v>Jose Pablo</v>
      </c>
      <c r="AR50" s="1" t="str">
        <f t="shared" si="8"/>
        <v>Jose Pablo</v>
      </c>
      <c r="AS50" s="1" t="str">
        <f t="shared" si="8"/>
        <v>Jose Pablo</v>
      </c>
      <c r="AT50" s="1" t="str">
        <f t="shared" si="8"/>
        <v>Brandon</v>
      </c>
      <c r="AU50" s="1" t="str">
        <f t="shared" si="8"/>
        <v>Brandon</v>
      </c>
      <c r="AV50" s="1" t="str">
        <f t="shared" si="8"/>
        <v>David</v>
      </c>
      <c r="AW50" s="1" t="str">
        <f t="shared" si="8"/>
        <v>Manrique</v>
      </c>
      <c r="AX50" s="1" t="str">
        <f t="shared" si="8"/>
        <v>Valeria</v>
      </c>
    </row>
    <row r="51" ht="14.25" customHeight="1">
      <c r="A51" s="1" t="str">
        <f t="shared" ref="A51:AX51" si="9">+VLOOKUP(A32,$A$2:$C$6,2,TRUE)</f>
        <v>Jose Pablo</v>
      </c>
      <c r="B51" s="1" t="str">
        <f t="shared" si="9"/>
        <v>Brandon</v>
      </c>
      <c r="C51" s="1" t="str">
        <f t="shared" si="9"/>
        <v>Jose Pablo</v>
      </c>
      <c r="D51" s="1" t="str">
        <f t="shared" si="9"/>
        <v>David</v>
      </c>
      <c r="E51" s="1" t="str">
        <f t="shared" si="9"/>
        <v>David</v>
      </c>
      <c r="F51" s="1" t="str">
        <f t="shared" si="9"/>
        <v>Manrique</v>
      </c>
      <c r="G51" s="1" t="str">
        <f t="shared" si="9"/>
        <v>Valeria</v>
      </c>
      <c r="H51" s="1" t="str">
        <f t="shared" si="9"/>
        <v>Valeria</v>
      </c>
      <c r="I51" s="1" t="str">
        <f t="shared" si="9"/>
        <v>Jose Pablo</v>
      </c>
      <c r="J51" s="1" t="str">
        <f t="shared" si="9"/>
        <v>David</v>
      </c>
      <c r="K51" s="1" t="str">
        <f t="shared" si="9"/>
        <v>David</v>
      </c>
      <c r="L51" s="1" t="str">
        <f t="shared" si="9"/>
        <v>David</v>
      </c>
      <c r="M51" s="1" t="str">
        <f t="shared" si="9"/>
        <v>Brandon</v>
      </c>
      <c r="N51" s="1" t="str">
        <f t="shared" si="9"/>
        <v>David</v>
      </c>
      <c r="O51" s="1" t="str">
        <f t="shared" si="9"/>
        <v>David</v>
      </c>
      <c r="P51" s="1" t="str">
        <f t="shared" si="9"/>
        <v>Valeria</v>
      </c>
      <c r="Q51" s="1" t="str">
        <f t="shared" si="9"/>
        <v>Manrique</v>
      </c>
      <c r="R51" s="1" t="str">
        <f t="shared" si="9"/>
        <v>David</v>
      </c>
      <c r="S51" s="1" t="str">
        <f t="shared" si="9"/>
        <v>Manrique</v>
      </c>
      <c r="T51" s="1" t="str">
        <f t="shared" si="9"/>
        <v>David</v>
      </c>
      <c r="U51" s="1" t="str">
        <f t="shared" si="9"/>
        <v>Brandon</v>
      </c>
      <c r="V51" s="1" t="str">
        <f t="shared" si="9"/>
        <v>David</v>
      </c>
      <c r="W51" s="1" t="str">
        <f t="shared" si="9"/>
        <v>David</v>
      </c>
      <c r="X51" s="1" t="str">
        <f t="shared" si="9"/>
        <v>Jose Pablo</v>
      </c>
      <c r="Y51" s="1" t="str">
        <f t="shared" si="9"/>
        <v>Manrique</v>
      </c>
      <c r="Z51" s="1" t="str">
        <f t="shared" si="9"/>
        <v>Manrique</v>
      </c>
      <c r="AA51" s="1" t="str">
        <f t="shared" si="9"/>
        <v>Brandon</v>
      </c>
      <c r="AB51" s="1" t="str">
        <f t="shared" si="9"/>
        <v>David</v>
      </c>
      <c r="AC51" s="1" t="str">
        <f t="shared" si="9"/>
        <v>David</v>
      </c>
      <c r="AD51" s="1" t="str">
        <f t="shared" si="9"/>
        <v>Valeria</v>
      </c>
      <c r="AE51" s="1" t="str">
        <f t="shared" si="9"/>
        <v>David</v>
      </c>
      <c r="AF51" s="1" t="str">
        <f t="shared" si="9"/>
        <v>Manrique</v>
      </c>
      <c r="AG51" s="1" t="str">
        <f t="shared" si="9"/>
        <v>Valeria</v>
      </c>
      <c r="AH51" s="1" t="str">
        <f t="shared" si="9"/>
        <v>Manrique</v>
      </c>
      <c r="AI51" s="1" t="str">
        <f t="shared" si="9"/>
        <v>David</v>
      </c>
      <c r="AJ51" s="1" t="str">
        <f t="shared" si="9"/>
        <v>Jose Pablo</v>
      </c>
      <c r="AK51" s="1" t="str">
        <f t="shared" si="9"/>
        <v>Brandon</v>
      </c>
      <c r="AL51" s="1" t="str">
        <f t="shared" si="9"/>
        <v>David</v>
      </c>
      <c r="AM51" s="1" t="str">
        <f t="shared" si="9"/>
        <v>Jose Pablo</v>
      </c>
      <c r="AN51" s="1" t="str">
        <f t="shared" si="9"/>
        <v>Jose Pablo</v>
      </c>
      <c r="AO51" s="1" t="str">
        <f t="shared" si="9"/>
        <v>Brandon</v>
      </c>
      <c r="AP51" s="1" t="str">
        <f t="shared" si="9"/>
        <v>Jose Pablo</v>
      </c>
      <c r="AQ51" s="1" t="str">
        <f t="shared" si="9"/>
        <v>Valeria</v>
      </c>
      <c r="AR51" s="1" t="str">
        <f t="shared" si="9"/>
        <v>Jose Pablo</v>
      </c>
      <c r="AS51" s="1" t="str">
        <f t="shared" si="9"/>
        <v>Valeria</v>
      </c>
      <c r="AT51" s="1" t="str">
        <f t="shared" si="9"/>
        <v>David</v>
      </c>
      <c r="AU51" s="1" t="str">
        <f t="shared" si="9"/>
        <v>Valeria</v>
      </c>
      <c r="AV51" s="1" t="str">
        <f t="shared" si="9"/>
        <v>Jose Pablo</v>
      </c>
      <c r="AW51" s="1" t="str">
        <f t="shared" si="9"/>
        <v>Valeria</v>
      </c>
      <c r="AX51" s="1" t="str">
        <f t="shared" si="9"/>
        <v>Jose Pablo</v>
      </c>
    </row>
    <row r="52" ht="14.25" customHeight="1">
      <c r="A52" s="1" t="str">
        <f t="shared" ref="A52:AX52" si="10">+VLOOKUP(A33,$A$2:$C$6,2,TRUE)</f>
        <v>David</v>
      </c>
      <c r="B52" s="1" t="str">
        <f t="shared" si="10"/>
        <v>Manrique</v>
      </c>
      <c r="C52" s="1" t="str">
        <f t="shared" si="10"/>
        <v>Manrique</v>
      </c>
      <c r="D52" s="1" t="str">
        <f t="shared" si="10"/>
        <v>Brandon</v>
      </c>
      <c r="E52" s="1" t="str">
        <f t="shared" si="10"/>
        <v>Brandon</v>
      </c>
      <c r="F52" s="1" t="str">
        <f t="shared" si="10"/>
        <v>Valeria</v>
      </c>
      <c r="G52" s="1" t="str">
        <f t="shared" si="10"/>
        <v>David</v>
      </c>
      <c r="H52" s="1" t="str">
        <f t="shared" si="10"/>
        <v>Brandon</v>
      </c>
      <c r="I52" s="1" t="str">
        <f t="shared" si="10"/>
        <v>Brandon</v>
      </c>
      <c r="J52" s="1" t="str">
        <f t="shared" si="10"/>
        <v>Manrique</v>
      </c>
      <c r="K52" s="1" t="str">
        <f t="shared" si="10"/>
        <v>David</v>
      </c>
      <c r="L52" s="1" t="str">
        <f t="shared" si="10"/>
        <v>Jose Pablo</v>
      </c>
      <c r="M52" s="1" t="str">
        <f t="shared" si="10"/>
        <v>David</v>
      </c>
      <c r="N52" s="1" t="str">
        <f t="shared" si="10"/>
        <v>David</v>
      </c>
      <c r="O52" s="1" t="str">
        <f t="shared" si="10"/>
        <v>David</v>
      </c>
      <c r="P52" s="1" t="str">
        <f t="shared" si="10"/>
        <v>Jose Pablo</v>
      </c>
      <c r="Q52" s="1" t="str">
        <f t="shared" si="10"/>
        <v>Valeria</v>
      </c>
      <c r="R52" s="1" t="str">
        <f t="shared" si="10"/>
        <v>Valeria</v>
      </c>
      <c r="S52" s="1" t="str">
        <f t="shared" si="10"/>
        <v>Jose Pablo</v>
      </c>
      <c r="T52" s="1" t="str">
        <f t="shared" si="10"/>
        <v>Valeria</v>
      </c>
      <c r="U52" s="1" t="str">
        <f t="shared" si="10"/>
        <v>Manrique</v>
      </c>
      <c r="V52" s="1" t="str">
        <f t="shared" si="10"/>
        <v>Manrique</v>
      </c>
      <c r="W52" s="1" t="str">
        <f t="shared" si="10"/>
        <v>Manrique</v>
      </c>
      <c r="X52" s="1" t="str">
        <f t="shared" si="10"/>
        <v>Jose Pablo</v>
      </c>
      <c r="Y52" s="1" t="str">
        <f t="shared" si="10"/>
        <v>Manrique</v>
      </c>
      <c r="Z52" s="1" t="str">
        <f t="shared" si="10"/>
        <v>Jose Pablo</v>
      </c>
      <c r="AA52" s="1" t="str">
        <f t="shared" si="10"/>
        <v>Manrique</v>
      </c>
      <c r="AB52" s="1" t="str">
        <f t="shared" si="10"/>
        <v>Valeria</v>
      </c>
      <c r="AC52" s="1" t="str">
        <f t="shared" si="10"/>
        <v>Valeria</v>
      </c>
      <c r="AD52" s="1" t="str">
        <f t="shared" si="10"/>
        <v>Brandon</v>
      </c>
      <c r="AE52" s="1" t="str">
        <f t="shared" si="10"/>
        <v>Manrique</v>
      </c>
      <c r="AF52" s="1" t="str">
        <f t="shared" si="10"/>
        <v>Valeria</v>
      </c>
      <c r="AG52" s="1" t="str">
        <f t="shared" si="10"/>
        <v>Valeria</v>
      </c>
      <c r="AH52" s="1" t="str">
        <f t="shared" si="10"/>
        <v>David</v>
      </c>
      <c r="AI52" s="1" t="str">
        <f t="shared" si="10"/>
        <v>Jose Pablo</v>
      </c>
      <c r="AJ52" s="1" t="str">
        <f t="shared" si="10"/>
        <v>David</v>
      </c>
      <c r="AK52" s="1" t="str">
        <f t="shared" si="10"/>
        <v>Valeria</v>
      </c>
      <c r="AL52" s="1" t="str">
        <f t="shared" si="10"/>
        <v>Manrique</v>
      </c>
      <c r="AM52" s="1" t="str">
        <f t="shared" si="10"/>
        <v>Brandon</v>
      </c>
      <c r="AN52" s="1" t="str">
        <f t="shared" si="10"/>
        <v>Valeria</v>
      </c>
      <c r="AO52" s="1" t="str">
        <f t="shared" si="10"/>
        <v>Manrique</v>
      </c>
      <c r="AP52" s="1" t="str">
        <f t="shared" si="10"/>
        <v>Valeria</v>
      </c>
      <c r="AQ52" s="1" t="str">
        <f t="shared" si="10"/>
        <v>David</v>
      </c>
      <c r="AR52" s="1" t="str">
        <f t="shared" si="10"/>
        <v>Valeria</v>
      </c>
      <c r="AS52" s="1" t="str">
        <f t="shared" si="10"/>
        <v>Manrique</v>
      </c>
      <c r="AT52" s="1" t="str">
        <f t="shared" si="10"/>
        <v>Manrique</v>
      </c>
      <c r="AU52" s="1" t="str">
        <f t="shared" si="10"/>
        <v>David</v>
      </c>
      <c r="AV52" s="1" t="str">
        <f t="shared" si="10"/>
        <v>Jose Pablo</v>
      </c>
      <c r="AW52" s="1" t="str">
        <f t="shared" si="10"/>
        <v>Manrique</v>
      </c>
      <c r="AX52" s="1" t="str">
        <f t="shared" si="10"/>
        <v>Brandon</v>
      </c>
    </row>
    <row r="53" ht="14.25" customHeight="1"/>
    <row r="54" ht="14.25" customHeight="1"/>
    <row r="55" ht="14.25" customHeight="1"/>
    <row r="56" ht="14.25" customHeight="1"/>
    <row r="57" ht="14.25" customHeight="1">
      <c r="A57" s="1" t="s">
        <v>473</v>
      </c>
    </row>
    <row r="58" ht="14.25" customHeight="1"/>
    <row r="59" ht="14.25" customHeight="1">
      <c r="A59" s="1" t="s">
        <v>472</v>
      </c>
    </row>
    <row r="60" ht="14.25" customHeight="1">
      <c r="A60" s="37">
        <v>1.0</v>
      </c>
      <c r="B60" s="37">
        <v>2.0</v>
      </c>
      <c r="C60" s="37">
        <v>3.0</v>
      </c>
      <c r="D60" s="37">
        <v>4.0</v>
      </c>
      <c r="E60" s="37">
        <v>5.0</v>
      </c>
      <c r="F60" s="37">
        <v>6.0</v>
      </c>
      <c r="G60" s="37">
        <v>7.0</v>
      </c>
      <c r="H60" s="37">
        <v>8.0</v>
      </c>
      <c r="I60" s="37">
        <v>9.0</v>
      </c>
      <c r="J60" s="37">
        <v>10.0</v>
      </c>
      <c r="K60" s="37">
        <v>11.0</v>
      </c>
      <c r="L60" s="37">
        <v>12.0</v>
      </c>
      <c r="M60" s="37">
        <v>13.0</v>
      </c>
      <c r="N60" s="37">
        <v>14.0</v>
      </c>
      <c r="O60" s="37">
        <v>15.0</v>
      </c>
      <c r="P60" s="37">
        <v>16.0</v>
      </c>
      <c r="Q60" s="37">
        <v>17.0</v>
      </c>
      <c r="R60" s="37">
        <v>18.0</v>
      </c>
      <c r="S60" s="37">
        <v>19.0</v>
      </c>
      <c r="T60" s="37">
        <v>20.0</v>
      </c>
      <c r="U60" s="37">
        <v>21.0</v>
      </c>
      <c r="V60" s="37">
        <v>22.0</v>
      </c>
      <c r="W60" s="37">
        <v>23.0</v>
      </c>
      <c r="X60" s="37">
        <v>24.0</v>
      </c>
      <c r="Y60" s="37">
        <v>25.0</v>
      </c>
      <c r="Z60" s="37">
        <v>26.0</v>
      </c>
      <c r="AA60" s="37">
        <v>27.0</v>
      </c>
      <c r="AB60" s="37">
        <v>28.0</v>
      </c>
      <c r="AC60" s="37">
        <v>29.0</v>
      </c>
      <c r="AD60" s="37">
        <v>30.0</v>
      </c>
      <c r="AE60" s="37">
        <v>31.0</v>
      </c>
      <c r="AF60" s="37">
        <v>32.0</v>
      </c>
      <c r="AG60" s="37">
        <v>33.0</v>
      </c>
      <c r="AH60" s="37">
        <v>34.0</v>
      </c>
      <c r="AI60" s="37">
        <v>35.0</v>
      </c>
      <c r="AJ60" s="37">
        <v>36.0</v>
      </c>
      <c r="AK60" s="37">
        <v>37.0</v>
      </c>
      <c r="AL60" s="37">
        <v>38.0</v>
      </c>
      <c r="AM60" s="37">
        <v>39.0</v>
      </c>
      <c r="AN60" s="37">
        <v>40.0</v>
      </c>
      <c r="AO60" s="37">
        <v>41.0</v>
      </c>
      <c r="AP60" s="37">
        <v>42.0</v>
      </c>
      <c r="AQ60" s="37">
        <v>43.0</v>
      </c>
      <c r="AR60" s="37">
        <v>44.0</v>
      </c>
      <c r="AS60" s="37">
        <v>45.0</v>
      </c>
      <c r="AT60" s="37">
        <v>46.0</v>
      </c>
      <c r="AU60" s="37">
        <v>47.0</v>
      </c>
      <c r="AV60" s="37">
        <v>48.0</v>
      </c>
      <c r="AW60" s="37">
        <v>49.0</v>
      </c>
      <c r="AX60" s="37">
        <v>50.0</v>
      </c>
    </row>
    <row r="61" ht="14.25" customHeight="1">
      <c r="A61" s="1">
        <f t="shared" ref="A61:AX61" si="11">+VLOOKUP(A29,$A$2:$C$6,3,TRUE)</f>
        <v>1.74</v>
      </c>
      <c r="B61" s="1">
        <f t="shared" si="11"/>
        <v>1.65</v>
      </c>
      <c r="C61" s="1">
        <f t="shared" si="11"/>
        <v>1.7</v>
      </c>
      <c r="D61" s="1">
        <f t="shared" si="11"/>
        <v>1.74</v>
      </c>
      <c r="E61" s="1">
        <f t="shared" si="11"/>
        <v>1.65</v>
      </c>
      <c r="F61" s="1">
        <f t="shared" si="11"/>
        <v>1.72</v>
      </c>
      <c r="G61" s="1">
        <f t="shared" si="11"/>
        <v>1.72</v>
      </c>
      <c r="H61" s="1">
        <f t="shared" si="11"/>
        <v>1.65</v>
      </c>
      <c r="I61" s="1">
        <f t="shared" si="11"/>
        <v>1.72</v>
      </c>
      <c r="J61" s="1">
        <f t="shared" si="11"/>
        <v>1.72</v>
      </c>
      <c r="K61" s="1">
        <f t="shared" si="11"/>
        <v>1.74</v>
      </c>
      <c r="L61" s="1">
        <f t="shared" si="11"/>
        <v>1.74</v>
      </c>
      <c r="M61" s="1">
        <f t="shared" si="11"/>
        <v>1.65</v>
      </c>
      <c r="N61" s="1">
        <f t="shared" si="11"/>
        <v>1.74</v>
      </c>
      <c r="O61" s="1">
        <f t="shared" si="11"/>
        <v>1.65</v>
      </c>
      <c r="P61" s="1">
        <f t="shared" si="11"/>
        <v>1.65</v>
      </c>
      <c r="Q61" s="1">
        <f t="shared" si="11"/>
        <v>1.72</v>
      </c>
      <c r="R61" s="1">
        <f t="shared" si="11"/>
        <v>1.74</v>
      </c>
      <c r="S61" s="1">
        <f t="shared" si="11"/>
        <v>1.65</v>
      </c>
      <c r="T61" s="1">
        <f t="shared" si="11"/>
        <v>1.65</v>
      </c>
      <c r="U61" s="1">
        <f t="shared" si="11"/>
        <v>1.7</v>
      </c>
      <c r="V61" s="1">
        <f t="shared" si="11"/>
        <v>1.65</v>
      </c>
      <c r="W61" s="1">
        <f t="shared" si="11"/>
        <v>1.74</v>
      </c>
      <c r="X61" s="1">
        <f t="shared" si="11"/>
        <v>1.65</v>
      </c>
      <c r="Y61" s="1">
        <f t="shared" si="11"/>
        <v>1.65</v>
      </c>
      <c r="Z61" s="1">
        <f t="shared" si="11"/>
        <v>1.65</v>
      </c>
      <c r="AA61" s="1">
        <f t="shared" si="11"/>
        <v>1.65</v>
      </c>
      <c r="AB61" s="1">
        <f t="shared" si="11"/>
        <v>1.74</v>
      </c>
      <c r="AC61" s="1">
        <f t="shared" si="11"/>
        <v>1.74</v>
      </c>
      <c r="AD61" s="1">
        <f t="shared" si="11"/>
        <v>1.65</v>
      </c>
      <c r="AE61" s="1">
        <f t="shared" si="11"/>
        <v>1.65</v>
      </c>
      <c r="AF61" s="1">
        <f t="shared" si="11"/>
        <v>1.65</v>
      </c>
      <c r="AG61" s="1">
        <f t="shared" si="11"/>
        <v>1.65</v>
      </c>
      <c r="AH61" s="1">
        <f t="shared" si="11"/>
        <v>1.74</v>
      </c>
      <c r="AI61" s="1">
        <f t="shared" si="11"/>
        <v>1.65</v>
      </c>
      <c r="AJ61" s="1">
        <f t="shared" si="11"/>
        <v>1.74</v>
      </c>
      <c r="AK61" s="1">
        <f t="shared" si="11"/>
        <v>1.72</v>
      </c>
      <c r="AL61" s="1">
        <f t="shared" si="11"/>
        <v>1.65</v>
      </c>
      <c r="AM61" s="1">
        <f t="shared" si="11"/>
        <v>1.65</v>
      </c>
      <c r="AN61" s="1">
        <f t="shared" si="11"/>
        <v>1.72</v>
      </c>
      <c r="AO61" s="1">
        <f t="shared" si="11"/>
        <v>1.65</v>
      </c>
      <c r="AP61" s="1">
        <f t="shared" si="11"/>
        <v>1.7</v>
      </c>
      <c r="AQ61" s="1">
        <f t="shared" si="11"/>
        <v>1.74</v>
      </c>
      <c r="AR61" s="1">
        <f t="shared" si="11"/>
        <v>1.74</v>
      </c>
      <c r="AS61" s="1">
        <f t="shared" si="11"/>
        <v>1.72</v>
      </c>
      <c r="AT61" s="1">
        <f t="shared" si="11"/>
        <v>1.65</v>
      </c>
      <c r="AU61" s="1">
        <f t="shared" si="11"/>
        <v>1.65</v>
      </c>
      <c r="AV61" s="1">
        <f t="shared" si="11"/>
        <v>1.7</v>
      </c>
      <c r="AW61" s="1">
        <f t="shared" si="11"/>
        <v>1.7</v>
      </c>
      <c r="AX61" s="1">
        <f t="shared" si="11"/>
        <v>1.65</v>
      </c>
    </row>
    <row r="62" ht="14.25" customHeight="1">
      <c r="A62" s="1">
        <f t="shared" ref="A62:AX62" si="12">+VLOOKUP(A30,$A$2:$C$6,3,TRUE)</f>
        <v>1.65</v>
      </c>
      <c r="B62" s="1">
        <f t="shared" si="12"/>
        <v>1.74</v>
      </c>
      <c r="C62" s="1">
        <f t="shared" si="12"/>
        <v>1.65</v>
      </c>
      <c r="D62" s="1">
        <f t="shared" si="12"/>
        <v>1.74</v>
      </c>
      <c r="E62" s="1">
        <f t="shared" si="12"/>
        <v>1.7</v>
      </c>
      <c r="F62" s="1">
        <f t="shared" si="12"/>
        <v>1.65</v>
      </c>
      <c r="G62" s="1">
        <f t="shared" si="12"/>
        <v>1.74</v>
      </c>
      <c r="H62" s="1">
        <f t="shared" si="12"/>
        <v>1.7</v>
      </c>
      <c r="I62" s="1">
        <f t="shared" si="12"/>
        <v>1.74</v>
      </c>
      <c r="J62" s="1">
        <f t="shared" si="12"/>
        <v>1.65</v>
      </c>
      <c r="K62" s="1">
        <f t="shared" si="12"/>
        <v>1.72</v>
      </c>
      <c r="L62" s="1">
        <f t="shared" si="12"/>
        <v>1.7</v>
      </c>
      <c r="M62" s="1">
        <f t="shared" si="12"/>
        <v>1.72</v>
      </c>
      <c r="N62" s="1">
        <f t="shared" si="12"/>
        <v>1.7</v>
      </c>
      <c r="O62" s="1">
        <f t="shared" si="12"/>
        <v>1.74</v>
      </c>
      <c r="P62" s="1">
        <f t="shared" si="12"/>
        <v>1.65</v>
      </c>
      <c r="Q62" s="1">
        <f t="shared" si="12"/>
        <v>1.65</v>
      </c>
      <c r="R62" s="1">
        <f t="shared" si="12"/>
        <v>1.72</v>
      </c>
      <c r="S62" s="1">
        <f t="shared" si="12"/>
        <v>1.65</v>
      </c>
      <c r="T62" s="1">
        <f t="shared" si="12"/>
        <v>1.74</v>
      </c>
      <c r="U62" s="1">
        <f t="shared" si="12"/>
        <v>1.74</v>
      </c>
      <c r="V62" s="1">
        <f t="shared" si="12"/>
        <v>1.74</v>
      </c>
      <c r="W62" s="1">
        <f t="shared" si="12"/>
        <v>1.65</v>
      </c>
      <c r="X62" s="1">
        <f t="shared" si="12"/>
        <v>1.74</v>
      </c>
      <c r="Y62" s="1">
        <f t="shared" si="12"/>
        <v>1.65</v>
      </c>
      <c r="Z62" s="1">
        <f t="shared" si="12"/>
        <v>1.74</v>
      </c>
      <c r="AA62" s="1">
        <f t="shared" si="12"/>
        <v>1.65</v>
      </c>
      <c r="AB62" s="1">
        <f t="shared" si="12"/>
        <v>1.72</v>
      </c>
      <c r="AC62" s="1">
        <f t="shared" si="12"/>
        <v>1.7</v>
      </c>
      <c r="AD62" s="1">
        <f t="shared" si="12"/>
        <v>1.72</v>
      </c>
      <c r="AE62" s="1">
        <f t="shared" si="12"/>
        <v>1.65</v>
      </c>
      <c r="AF62" s="1">
        <f t="shared" si="12"/>
        <v>1.65</v>
      </c>
      <c r="AG62" s="1">
        <f t="shared" si="12"/>
        <v>1.72</v>
      </c>
      <c r="AH62" s="1">
        <f t="shared" si="12"/>
        <v>1.65</v>
      </c>
      <c r="AI62" s="1">
        <f t="shared" si="12"/>
        <v>1.65</v>
      </c>
      <c r="AJ62" s="1">
        <f t="shared" si="12"/>
        <v>1.65</v>
      </c>
      <c r="AK62" s="1">
        <f t="shared" si="12"/>
        <v>1.72</v>
      </c>
      <c r="AL62" s="1">
        <f t="shared" si="12"/>
        <v>1.74</v>
      </c>
      <c r="AM62" s="1">
        <f t="shared" si="12"/>
        <v>1.65</v>
      </c>
      <c r="AN62" s="1">
        <f t="shared" si="12"/>
        <v>1.74</v>
      </c>
      <c r="AO62" s="1">
        <f t="shared" si="12"/>
        <v>1.65</v>
      </c>
      <c r="AP62" s="1">
        <f t="shared" si="12"/>
        <v>1.74</v>
      </c>
      <c r="AQ62" s="1">
        <f t="shared" si="12"/>
        <v>1.65</v>
      </c>
      <c r="AR62" s="1">
        <f t="shared" si="12"/>
        <v>1.7</v>
      </c>
      <c r="AS62" s="1">
        <f t="shared" si="12"/>
        <v>1.65</v>
      </c>
      <c r="AT62" s="1">
        <f t="shared" si="12"/>
        <v>1.7</v>
      </c>
      <c r="AU62" s="1">
        <f t="shared" si="12"/>
        <v>1.72</v>
      </c>
      <c r="AV62" s="1">
        <f t="shared" si="12"/>
        <v>1.74</v>
      </c>
      <c r="AW62" s="1">
        <f t="shared" si="12"/>
        <v>1.7</v>
      </c>
      <c r="AX62" s="1">
        <f t="shared" si="12"/>
        <v>1.65</v>
      </c>
    </row>
    <row r="63" ht="14.25" customHeight="1">
      <c r="A63" s="1">
        <f t="shared" ref="A63:AX63" si="13">+VLOOKUP(A31,$A$2:$C$6,3,TRUE)</f>
        <v>1.65</v>
      </c>
      <c r="B63" s="1">
        <f t="shared" si="13"/>
        <v>1.65</v>
      </c>
      <c r="C63" s="1">
        <f t="shared" si="13"/>
        <v>1.74</v>
      </c>
      <c r="D63" s="1">
        <f t="shared" si="13"/>
        <v>1.7</v>
      </c>
      <c r="E63" s="1">
        <f t="shared" si="13"/>
        <v>1.72</v>
      </c>
      <c r="F63" s="1">
        <f t="shared" si="13"/>
        <v>1.65</v>
      </c>
      <c r="G63" s="1">
        <f t="shared" si="13"/>
        <v>1.74</v>
      </c>
      <c r="H63" s="1">
        <f t="shared" si="13"/>
        <v>1.65</v>
      </c>
      <c r="I63" s="1">
        <f t="shared" si="13"/>
        <v>1.65</v>
      </c>
      <c r="J63" s="1">
        <f t="shared" si="13"/>
        <v>1.72</v>
      </c>
      <c r="K63" s="1">
        <f t="shared" si="13"/>
        <v>1.7</v>
      </c>
      <c r="L63" s="1">
        <f t="shared" si="13"/>
        <v>1.65</v>
      </c>
      <c r="M63" s="1">
        <f t="shared" si="13"/>
        <v>1.7</v>
      </c>
      <c r="N63" s="1">
        <f t="shared" si="13"/>
        <v>1.74</v>
      </c>
      <c r="O63" s="1">
        <f t="shared" si="13"/>
        <v>1.74</v>
      </c>
      <c r="P63" s="1">
        <f t="shared" si="13"/>
        <v>1.65</v>
      </c>
      <c r="Q63" s="1">
        <f t="shared" si="13"/>
        <v>1.65</v>
      </c>
      <c r="R63" s="1">
        <f t="shared" si="13"/>
        <v>1.7</v>
      </c>
      <c r="S63" s="1">
        <f t="shared" si="13"/>
        <v>1.7</v>
      </c>
      <c r="T63" s="1">
        <f t="shared" si="13"/>
        <v>1.7</v>
      </c>
      <c r="U63" s="1">
        <f t="shared" si="13"/>
        <v>1.72</v>
      </c>
      <c r="V63" s="1">
        <f t="shared" si="13"/>
        <v>1.72</v>
      </c>
      <c r="W63" s="1">
        <f t="shared" si="13"/>
        <v>1.72</v>
      </c>
      <c r="X63" s="1">
        <f t="shared" si="13"/>
        <v>1.72</v>
      </c>
      <c r="Y63" s="1">
        <f t="shared" si="13"/>
        <v>1.74</v>
      </c>
      <c r="Z63" s="1">
        <f t="shared" si="13"/>
        <v>1.65</v>
      </c>
      <c r="AA63" s="1">
        <f t="shared" si="13"/>
        <v>1.72</v>
      </c>
      <c r="AB63" s="1">
        <f t="shared" si="13"/>
        <v>1.65</v>
      </c>
      <c r="AC63" s="1">
        <f t="shared" si="13"/>
        <v>1.65</v>
      </c>
      <c r="AD63" s="1">
        <f t="shared" si="13"/>
        <v>1.72</v>
      </c>
      <c r="AE63" s="1">
        <f t="shared" si="13"/>
        <v>1.65</v>
      </c>
      <c r="AF63" s="1">
        <f t="shared" si="13"/>
        <v>1.74</v>
      </c>
      <c r="AG63" s="1">
        <f t="shared" si="13"/>
        <v>1.74</v>
      </c>
      <c r="AH63" s="1">
        <f t="shared" si="13"/>
        <v>1.7</v>
      </c>
      <c r="AI63" s="1">
        <f t="shared" si="13"/>
        <v>1.74</v>
      </c>
      <c r="AJ63" s="1">
        <f t="shared" si="13"/>
        <v>1.65</v>
      </c>
      <c r="AK63" s="1">
        <f t="shared" si="13"/>
        <v>1.74</v>
      </c>
      <c r="AL63" s="1">
        <f t="shared" si="13"/>
        <v>1.7</v>
      </c>
      <c r="AM63" s="1">
        <f t="shared" si="13"/>
        <v>1.65</v>
      </c>
      <c r="AN63" s="1">
        <f t="shared" si="13"/>
        <v>1.7</v>
      </c>
      <c r="AO63" s="1">
        <f t="shared" si="13"/>
        <v>1.65</v>
      </c>
      <c r="AP63" s="1">
        <f t="shared" si="13"/>
        <v>1.65</v>
      </c>
      <c r="AQ63" s="1">
        <f t="shared" si="13"/>
        <v>1.74</v>
      </c>
      <c r="AR63" s="1">
        <f t="shared" si="13"/>
        <v>1.74</v>
      </c>
      <c r="AS63" s="1">
        <f t="shared" si="13"/>
        <v>1.74</v>
      </c>
      <c r="AT63" s="1">
        <f t="shared" si="13"/>
        <v>1.7</v>
      </c>
      <c r="AU63" s="1">
        <f t="shared" si="13"/>
        <v>1.7</v>
      </c>
      <c r="AV63" s="1">
        <f t="shared" si="13"/>
        <v>1.72</v>
      </c>
      <c r="AW63" s="1">
        <f t="shared" si="13"/>
        <v>1.65</v>
      </c>
      <c r="AX63" s="1">
        <f t="shared" si="13"/>
        <v>1.65</v>
      </c>
    </row>
    <row r="64" ht="14.25" customHeight="1">
      <c r="A64" s="1">
        <f t="shared" ref="A64:AX64" si="14">+VLOOKUP(A32,$A$2:$C$6,3,TRUE)</f>
        <v>1.74</v>
      </c>
      <c r="B64" s="1">
        <f t="shared" si="14"/>
        <v>1.7</v>
      </c>
      <c r="C64" s="1">
        <f t="shared" si="14"/>
        <v>1.74</v>
      </c>
      <c r="D64" s="1">
        <f t="shared" si="14"/>
        <v>1.72</v>
      </c>
      <c r="E64" s="1">
        <f t="shared" si="14"/>
        <v>1.72</v>
      </c>
      <c r="F64" s="1">
        <f t="shared" si="14"/>
        <v>1.65</v>
      </c>
      <c r="G64" s="1">
        <f t="shared" si="14"/>
        <v>1.65</v>
      </c>
      <c r="H64" s="1">
        <f t="shared" si="14"/>
        <v>1.65</v>
      </c>
      <c r="I64" s="1">
        <f t="shared" si="14"/>
        <v>1.74</v>
      </c>
      <c r="J64" s="1">
        <f t="shared" si="14"/>
        <v>1.72</v>
      </c>
      <c r="K64" s="1">
        <f t="shared" si="14"/>
        <v>1.72</v>
      </c>
      <c r="L64" s="1">
        <f t="shared" si="14"/>
        <v>1.72</v>
      </c>
      <c r="M64" s="1">
        <f t="shared" si="14"/>
        <v>1.7</v>
      </c>
      <c r="N64" s="1">
        <f t="shared" si="14"/>
        <v>1.72</v>
      </c>
      <c r="O64" s="1">
        <f t="shared" si="14"/>
        <v>1.72</v>
      </c>
      <c r="P64" s="1">
        <f t="shared" si="14"/>
        <v>1.65</v>
      </c>
      <c r="Q64" s="1">
        <f t="shared" si="14"/>
        <v>1.65</v>
      </c>
      <c r="R64" s="1">
        <f t="shared" si="14"/>
        <v>1.72</v>
      </c>
      <c r="S64" s="1">
        <f t="shared" si="14"/>
        <v>1.65</v>
      </c>
      <c r="T64" s="1">
        <f t="shared" si="14"/>
        <v>1.72</v>
      </c>
      <c r="U64" s="1">
        <f t="shared" si="14"/>
        <v>1.7</v>
      </c>
      <c r="V64" s="1">
        <f t="shared" si="14"/>
        <v>1.72</v>
      </c>
      <c r="W64" s="1">
        <f t="shared" si="14"/>
        <v>1.72</v>
      </c>
      <c r="X64" s="1">
        <f t="shared" si="14"/>
        <v>1.74</v>
      </c>
      <c r="Y64" s="1">
        <f t="shared" si="14"/>
        <v>1.65</v>
      </c>
      <c r="Z64" s="1">
        <f t="shared" si="14"/>
        <v>1.65</v>
      </c>
      <c r="AA64" s="1">
        <f t="shared" si="14"/>
        <v>1.7</v>
      </c>
      <c r="AB64" s="1">
        <f t="shared" si="14"/>
        <v>1.72</v>
      </c>
      <c r="AC64" s="1">
        <f t="shared" si="14"/>
        <v>1.72</v>
      </c>
      <c r="AD64" s="1">
        <f t="shared" si="14"/>
        <v>1.65</v>
      </c>
      <c r="AE64" s="1">
        <f t="shared" si="14"/>
        <v>1.72</v>
      </c>
      <c r="AF64" s="1">
        <f t="shared" si="14"/>
        <v>1.65</v>
      </c>
      <c r="AG64" s="1">
        <f t="shared" si="14"/>
        <v>1.65</v>
      </c>
      <c r="AH64" s="1">
        <f t="shared" si="14"/>
        <v>1.65</v>
      </c>
      <c r="AI64" s="1">
        <f t="shared" si="14"/>
        <v>1.72</v>
      </c>
      <c r="AJ64" s="1">
        <f t="shared" si="14"/>
        <v>1.74</v>
      </c>
      <c r="AK64" s="1">
        <f t="shared" si="14"/>
        <v>1.7</v>
      </c>
      <c r="AL64" s="1">
        <f t="shared" si="14"/>
        <v>1.72</v>
      </c>
      <c r="AM64" s="1">
        <f t="shared" si="14"/>
        <v>1.74</v>
      </c>
      <c r="AN64" s="1">
        <f t="shared" si="14"/>
        <v>1.74</v>
      </c>
      <c r="AO64" s="1">
        <f t="shared" si="14"/>
        <v>1.7</v>
      </c>
      <c r="AP64" s="1">
        <f t="shared" si="14"/>
        <v>1.74</v>
      </c>
      <c r="AQ64" s="1">
        <f t="shared" si="14"/>
        <v>1.65</v>
      </c>
      <c r="AR64" s="1">
        <f t="shared" si="14"/>
        <v>1.74</v>
      </c>
      <c r="AS64" s="1">
        <f t="shared" si="14"/>
        <v>1.65</v>
      </c>
      <c r="AT64" s="1">
        <f t="shared" si="14"/>
        <v>1.72</v>
      </c>
      <c r="AU64" s="1">
        <f t="shared" si="14"/>
        <v>1.65</v>
      </c>
      <c r="AV64" s="1">
        <f t="shared" si="14"/>
        <v>1.74</v>
      </c>
      <c r="AW64" s="1">
        <f t="shared" si="14"/>
        <v>1.65</v>
      </c>
      <c r="AX64" s="1">
        <f t="shared" si="14"/>
        <v>1.74</v>
      </c>
    </row>
    <row r="65" ht="14.25" customHeight="1">
      <c r="A65" s="1">
        <f t="shared" ref="A65:AX65" si="15">+VLOOKUP(A33,$A$2:$C$6,3,TRUE)</f>
        <v>1.72</v>
      </c>
      <c r="B65" s="1">
        <f t="shared" si="15"/>
        <v>1.65</v>
      </c>
      <c r="C65" s="1">
        <f t="shared" si="15"/>
        <v>1.65</v>
      </c>
      <c r="D65" s="1">
        <f t="shared" si="15"/>
        <v>1.7</v>
      </c>
      <c r="E65" s="1">
        <f t="shared" si="15"/>
        <v>1.7</v>
      </c>
      <c r="F65" s="1">
        <f t="shared" si="15"/>
        <v>1.65</v>
      </c>
      <c r="G65" s="1">
        <f t="shared" si="15"/>
        <v>1.72</v>
      </c>
      <c r="H65" s="1">
        <f t="shared" si="15"/>
        <v>1.7</v>
      </c>
      <c r="I65" s="1">
        <f t="shared" si="15"/>
        <v>1.7</v>
      </c>
      <c r="J65" s="1">
        <f t="shared" si="15"/>
        <v>1.65</v>
      </c>
      <c r="K65" s="1">
        <f t="shared" si="15"/>
        <v>1.72</v>
      </c>
      <c r="L65" s="1">
        <f t="shared" si="15"/>
        <v>1.74</v>
      </c>
      <c r="M65" s="1">
        <f t="shared" si="15"/>
        <v>1.72</v>
      </c>
      <c r="N65" s="1">
        <f t="shared" si="15"/>
        <v>1.72</v>
      </c>
      <c r="O65" s="1">
        <f t="shared" si="15"/>
        <v>1.72</v>
      </c>
      <c r="P65" s="1">
        <f t="shared" si="15"/>
        <v>1.74</v>
      </c>
      <c r="Q65" s="1">
        <f t="shared" si="15"/>
        <v>1.65</v>
      </c>
      <c r="R65" s="1">
        <f t="shared" si="15"/>
        <v>1.65</v>
      </c>
      <c r="S65" s="1">
        <f t="shared" si="15"/>
        <v>1.74</v>
      </c>
      <c r="T65" s="1">
        <f t="shared" si="15"/>
        <v>1.65</v>
      </c>
      <c r="U65" s="1">
        <f t="shared" si="15"/>
        <v>1.65</v>
      </c>
      <c r="V65" s="1">
        <f t="shared" si="15"/>
        <v>1.65</v>
      </c>
      <c r="W65" s="1">
        <f t="shared" si="15"/>
        <v>1.65</v>
      </c>
      <c r="X65" s="1">
        <f t="shared" si="15"/>
        <v>1.74</v>
      </c>
      <c r="Y65" s="1">
        <f t="shared" si="15"/>
        <v>1.65</v>
      </c>
      <c r="Z65" s="1">
        <f t="shared" si="15"/>
        <v>1.74</v>
      </c>
      <c r="AA65" s="1">
        <f t="shared" si="15"/>
        <v>1.65</v>
      </c>
      <c r="AB65" s="1">
        <f t="shared" si="15"/>
        <v>1.65</v>
      </c>
      <c r="AC65" s="1">
        <f t="shared" si="15"/>
        <v>1.65</v>
      </c>
      <c r="AD65" s="1">
        <f t="shared" si="15"/>
        <v>1.7</v>
      </c>
      <c r="AE65" s="1">
        <f t="shared" si="15"/>
        <v>1.65</v>
      </c>
      <c r="AF65" s="1">
        <f t="shared" si="15"/>
        <v>1.65</v>
      </c>
      <c r="AG65" s="1">
        <f t="shared" si="15"/>
        <v>1.65</v>
      </c>
      <c r="AH65" s="1">
        <f t="shared" si="15"/>
        <v>1.72</v>
      </c>
      <c r="AI65" s="1">
        <f t="shared" si="15"/>
        <v>1.74</v>
      </c>
      <c r="AJ65" s="1">
        <f t="shared" si="15"/>
        <v>1.72</v>
      </c>
      <c r="AK65" s="1">
        <f t="shared" si="15"/>
        <v>1.65</v>
      </c>
      <c r="AL65" s="1">
        <f t="shared" si="15"/>
        <v>1.65</v>
      </c>
      <c r="AM65" s="1">
        <f t="shared" si="15"/>
        <v>1.7</v>
      </c>
      <c r="AN65" s="1">
        <f t="shared" si="15"/>
        <v>1.65</v>
      </c>
      <c r="AO65" s="1">
        <f t="shared" si="15"/>
        <v>1.65</v>
      </c>
      <c r="AP65" s="1">
        <f t="shared" si="15"/>
        <v>1.65</v>
      </c>
      <c r="AQ65" s="1">
        <f t="shared" si="15"/>
        <v>1.72</v>
      </c>
      <c r="AR65" s="1">
        <f t="shared" si="15"/>
        <v>1.65</v>
      </c>
      <c r="AS65" s="1">
        <f t="shared" si="15"/>
        <v>1.65</v>
      </c>
      <c r="AT65" s="1">
        <f t="shared" si="15"/>
        <v>1.65</v>
      </c>
      <c r="AU65" s="1">
        <f t="shared" si="15"/>
        <v>1.72</v>
      </c>
      <c r="AV65" s="1">
        <f t="shared" si="15"/>
        <v>1.74</v>
      </c>
      <c r="AW65" s="1">
        <f t="shared" si="15"/>
        <v>1.65</v>
      </c>
      <c r="AX65" s="1">
        <f t="shared" si="15"/>
        <v>1.7</v>
      </c>
    </row>
    <row r="66" ht="14.25" customHeight="1"/>
    <row r="67" ht="14.25" customHeight="1"/>
    <row r="68" ht="14.25" customHeight="1">
      <c r="A68" s="75">
        <f t="shared" ref="A68:AX68" si="16">+AVERAGE(A61:A65)</f>
        <v>1.7</v>
      </c>
      <c r="B68" s="75">
        <f t="shared" si="16"/>
        <v>1.678</v>
      </c>
      <c r="C68" s="75">
        <f t="shared" si="16"/>
        <v>1.696</v>
      </c>
      <c r="D68" s="75">
        <f t="shared" si="16"/>
        <v>1.72</v>
      </c>
      <c r="E68" s="75">
        <f t="shared" si="16"/>
        <v>1.698</v>
      </c>
      <c r="F68" s="75">
        <f t="shared" si="16"/>
        <v>1.664</v>
      </c>
      <c r="G68" s="75">
        <f t="shared" si="16"/>
        <v>1.714</v>
      </c>
      <c r="H68" s="75">
        <f t="shared" si="16"/>
        <v>1.67</v>
      </c>
      <c r="I68" s="75">
        <f t="shared" si="16"/>
        <v>1.71</v>
      </c>
      <c r="J68" s="75">
        <f t="shared" si="16"/>
        <v>1.692</v>
      </c>
      <c r="K68" s="75">
        <f t="shared" si="16"/>
        <v>1.72</v>
      </c>
      <c r="L68" s="75">
        <f t="shared" si="16"/>
        <v>1.71</v>
      </c>
      <c r="M68" s="75">
        <f t="shared" si="16"/>
        <v>1.698</v>
      </c>
      <c r="N68" s="75">
        <f t="shared" si="16"/>
        <v>1.724</v>
      </c>
      <c r="O68" s="75">
        <f t="shared" si="16"/>
        <v>1.714</v>
      </c>
      <c r="P68" s="75">
        <f t="shared" si="16"/>
        <v>1.668</v>
      </c>
      <c r="Q68" s="75">
        <f t="shared" si="16"/>
        <v>1.664</v>
      </c>
      <c r="R68" s="75">
        <f t="shared" si="16"/>
        <v>1.706</v>
      </c>
      <c r="S68" s="75">
        <f t="shared" si="16"/>
        <v>1.678</v>
      </c>
      <c r="T68" s="75">
        <f t="shared" si="16"/>
        <v>1.692</v>
      </c>
      <c r="U68" s="75">
        <f t="shared" si="16"/>
        <v>1.702</v>
      </c>
      <c r="V68" s="75">
        <f t="shared" si="16"/>
        <v>1.696</v>
      </c>
      <c r="W68" s="75">
        <f t="shared" si="16"/>
        <v>1.696</v>
      </c>
      <c r="X68" s="75">
        <f t="shared" si="16"/>
        <v>1.718</v>
      </c>
      <c r="Y68" s="75">
        <f t="shared" si="16"/>
        <v>1.668</v>
      </c>
      <c r="Z68" s="75">
        <f t="shared" si="16"/>
        <v>1.686</v>
      </c>
      <c r="AA68" s="75">
        <f t="shared" si="16"/>
        <v>1.674</v>
      </c>
      <c r="AB68" s="75">
        <f t="shared" si="16"/>
        <v>1.696</v>
      </c>
      <c r="AC68" s="75">
        <f t="shared" si="16"/>
        <v>1.692</v>
      </c>
      <c r="AD68" s="75">
        <f t="shared" si="16"/>
        <v>1.688</v>
      </c>
      <c r="AE68" s="75">
        <f t="shared" si="16"/>
        <v>1.664</v>
      </c>
      <c r="AF68" s="75">
        <f t="shared" si="16"/>
        <v>1.668</v>
      </c>
      <c r="AG68" s="75">
        <f t="shared" si="16"/>
        <v>1.682</v>
      </c>
      <c r="AH68" s="75">
        <f t="shared" si="16"/>
        <v>1.692</v>
      </c>
      <c r="AI68" s="75">
        <f t="shared" si="16"/>
        <v>1.7</v>
      </c>
      <c r="AJ68" s="75">
        <f t="shared" si="16"/>
        <v>1.7</v>
      </c>
      <c r="AK68" s="75">
        <f t="shared" si="16"/>
        <v>1.706</v>
      </c>
      <c r="AL68" s="75">
        <f t="shared" si="16"/>
        <v>1.692</v>
      </c>
      <c r="AM68" s="75">
        <f t="shared" si="16"/>
        <v>1.678</v>
      </c>
      <c r="AN68" s="75">
        <f t="shared" si="16"/>
        <v>1.71</v>
      </c>
      <c r="AO68" s="75">
        <f t="shared" si="16"/>
        <v>1.66</v>
      </c>
      <c r="AP68" s="75">
        <f t="shared" si="16"/>
        <v>1.696</v>
      </c>
      <c r="AQ68" s="75">
        <f t="shared" si="16"/>
        <v>1.7</v>
      </c>
      <c r="AR68" s="75">
        <f t="shared" si="16"/>
        <v>1.714</v>
      </c>
      <c r="AS68" s="75">
        <f t="shared" si="16"/>
        <v>1.682</v>
      </c>
      <c r="AT68" s="75">
        <f t="shared" si="16"/>
        <v>1.684</v>
      </c>
      <c r="AU68" s="75">
        <f t="shared" si="16"/>
        <v>1.688</v>
      </c>
      <c r="AV68" s="75">
        <f t="shared" si="16"/>
        <v>1.728</v>
      </c>
      <c r="AW68" s="75">
        <f t="shared" si="16"/>
        <v>1.67</v>
      </c>
      <c r="AX68" s="75">
        <f t="shared" si="16"/>
        <v>1.678</v>
      </c>
    </row>
    <row r="69" ht="14.25" customHeight="1"/>
    <row r="70" ht="14.25" customHeight="1"/>
    <row r="71" ht="14.25" customHeight="1">
      <c r="A71" s="1" t="s">
        <v>474</v>
      </c>
      <c r="B71" s="1">
        <f>+AVERAGE(A68:AX68)</f>
        <v>1.69248</v>
      </c>
      <c r="M71" s="47"/>
    </row>
    <row r="72" ht="14.25" customHeight="1">
      <c r="M72" s="47"/>
    </row>
    <row r="73" ht="14.25" customHeight="1">
      <c r="M73" s="47"/>
    </row>
    <row r="74" ht="14.25" customHeight="1">
      <c r="A74" s="1" t="s">
        <v>475</v>
      </c>
      <c r="E74" s="1" t="s">
        <v>476</v>
      </c>
      <c r="I74" s="1" t="s">
        <v>477</v>
      </c>
      <c r="M74" s="47"/>
    </row>
    <row r="75" ht="14.25" customHeight="1">
      <c r="A75" s="1" t="s">
        <v>478</v>
      </c>
      <c r="B75" s="1">
        <f>+_xlfn.PERCENTILE.INC(A68:AX68,0.025)</f>
        <v>1.664</v>
      </c>
      <c r="E75" s="1">
        <f>+STDEV(A68:AX68)</f>
        <v>0.0177214732</v>
      </c>
      <c r="I75" s="1">
        <f>+B71-C7</f>
        <v>0.00048</v>
      </c>
      <c r="M75" s="47"/>
    </row>
    <row r="76" ht="14.25" customHeight="1">
      <c r="A76" s="1" t="s">
        <v>479</v>
      </c>
      <c r="B76" s="33">
        <f>+_xlfn.PERCENTILE.INC(A68:AX68,0.975)</f>
        <v>1.7231</v>
      </c>
      <c r="M76" s="47"/>
    </row>
    <row r="77" ht="14.25" customHeight="1">
      <c r="M77" s="47"/>
    </row>
    <row r="78" ht="14.25" customHeight="1">
      <c r="A78" s="1" t="s">
        <v>480</v>
      </c>
      <c r="E78" s="1" t="s">
        <v>481</v>
      </c>
      <c r="M78" s="47"/>
    </row>
    <row r="79" ht="14.25" customHeight="1">
      <c r="A79" s="1" t="s">
        <v>463</v>
      </c>
      <c r="B79" s="33">
        <v>1.6412586141398657</v>
      </c>
      <c r="E79" s="1" t="s">
        <v>467</v>
      </c>
      <c r="G79" s="1">
        <v>0.01827566688249708</v>
      </c>
    </row>
    <row r="80" ht="14.25" customHeight="1">
      <c r="A80" s="1" t="s">
        <v>465</v>
      </c>
      <c r="B80" s="33">
        <v>1.7427413858601346</v>
      </c>
    </row>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rintOptions/>
  <pageMargins bottom="0.75" footer="0.0" header="0.0" left="0.7" right="0.7" top="0.75"/>
  <pageSetup paperSize="9" orientation="portrait"/>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10.71"/>
  </cols>
  <sheetData>
    <row r="1" ht="14.25" customHeight="1">
      <c r="A1" s="96" t="s">
        <v>482</v>
      </c>
      <c r="B1" s="96" t="s">
        <v>483</v>
      </c>
    </row>
    <row r="2" ht="14.25" customHeight="1">
      <c r="A2" s="47">
        <v>1.6599999999999997</v>
      </c>
      <c r="B2" s="47">
        <v>1.0</v>
      </c>
    </row>
    <row r="3" ht="14.25" customHeight="1">
      <c r="A3" s="47">
        <v>1.6697142857142855</v>
      </c>
      <c r="B3" s="47">
        <v>6.0</v>
      </c>
    </row>
    <row r="4" ht="14.25" customHeight="1">
      <c r="A4" s="47">
        <v>1.6794285714285713</v>
      </c>
      <c r="B4" s="47">
        <v>7.0</v>
      </c>
    </row>
    <row r="5" ht="14.25" customHeight="1">
      <c r="A5" s="47">
        <v>1.689142857142857</v>
      </c>
      <c r="B5" s="47">
        <v>6.0</v>
      </c>
    </row>
    <row r="6" ht="14.25" customHeight="1">
      <c r="A6" s="47">
        <v>1.6988571428571428</v>
      </c>
      <c r="B6" s="47">
        <v>12.0</v>
      </c>
    </row>
    <row r="7" ht="14.25" customHeight="1">
      <c r="A7" s="47">
        <v>1.7085714285714286</v>
      </c>
      <c r="B7" s="47">
        <v>7.0</v>
      </c>
    </row>
    <row r="8" ht="14.25" customHeight="1">
      <c r="A8" s="47">
        <v>1.7182857142857144</v>
      </c>
      <c r="B8" s="47">
        <v>7.0</v>
      </c>
    </row>
    <row r="9" ht="14.25" customHeight="1">
      <c r="A9" s="97" t="s">
        <v>484</v>
      </c>
      <c r="B9" s="97">
        <v>4.0</v>
      </c>
    </row>
    <row r="10" ht="14.25" customHeight="1"/>
    <row r="11" ht="14.25" customHeight="1"/>
    <row r="12" ht="14.25" customHeight="1"/>
    <row r="13" ht="14.25" customHeight="1"/>
    <row r="14" ht="14.25" customHeight="1"/>
    <row r="15" ht="14.25" customHeight="1"/>
    <row r="16"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rintOptions/>
  <pageMargins bottom="0.75" footer="0.0" header="0.0" left="0.7" right="0.7" top="0.75"/>
  <pageSetup orientation="landscape"/>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10.71"/>
  </cols>
  <sheetData>
    <row r="1" ht="14.25" customHeight="1">
      <c r="A1" s="1" t="s">
        <v>485</v>
      </c>
    </row>
    <row r="2" ht="14.25" customHeight="1"/>
    <row r="3" ht="14.25" customHeight="1">
      <c r="A3" s="98" t="s">
        <v>486</v>
      </c>
    </row>
    <row r="4" ht="14.25" customHeight="1"/>
    <row r="5" ht="14.25" customHeight="1"/>
    <row r="6" ht="14.25" customHeight="1">
      <c r="B6" s="48" t="s">
        <v>487</v>
      </c>
    </row>
    <row r="7" ht="14.25" customHeight="1">
      <c r="A7" s="15" t="s">
        <v>488</v>
      </c>
    </row>
    <row r="8" ht="14.25" customHeight="1"/>
    <row r="9" ht="14.25" customHeight="1"/>
    <row r="10" ht="14.25" customHeight="1"/>
    <row r="11" ht="14.25" customHeight="1"/>
    <row r="12" ht="14.25" customHeight="1">
      <c r="A12" s="1" t="s">
        <v>489</v>
      </c>
      <c r="E12" s="1" t="s">
        <v>490</v>
      </c>
      <c r="F12" s="1">
        <v>74.0</v>
      </c>
    </row>
    <row r="13" ht="14.25" customHeight="1">
      <c r="A13" s="1" t="s">
        <v>491</v>
      </c>
      <c r="E13" s="1" t="s">
        <v>492</v>
      </c>
      <c r="F13" s="1">
        <v>7.0</v>
      </c>
    </row>
    <row r="14" ht="14.25" customHeight="1">
      <c r="E14" s="1" t="s">
        <v>493</v>
      </c>
      <c r="F14" s="1">
        <v>40.0</v>
      </c>
    </row>
    <row r="15" ht="14.25" customHeight="1">
      <c r="A15" s="1" t="s">
        <v>494</v>
      </c>
      <c r="B15" s="1">
        <v>0.01</v>
      </c>
    </row>
    <row r="16" ht="14.25" customHeight="1">
      <c r="E16" s="1" t="s">
        <v>495</v>
      </c>
      <c r="F16" s="1">
        <v>78.0</v>
      </c>
    </row>
    <row r="17" ht="14.25" customHeight="1">
      <c r="A17" s="99" t="s">
        <v>219</v>
      </c>
      <c r="E17" s="1" t="s">
        <v>496</v>
      </c>
      <c r="F17" s="1">
        <v>8.0</v>
      </c>
    </row>
    <row r="18" ht="14.25" customHeight="1">
      <c r="A18" s="1" t="s">
        <v>497</v>
      </c>
      <c r="E18" s="1" t="s">
        <v>498</v>
      </c>
      <c r="F18" s="1">
        <v>50.0</v>
      </c>
    </row>
    <row r="19" ht="14.25" customHeight="1">
      <c r="A19" s="1" t="s">
        <v>499</v>
      </c>
      <c r="B19" s="1">
        <f>+NORMSINV(0.995)</f>
        <v>2.575829306</v>
      </c>
      <c r="E19" s="1" t="s">
        <v>500</v>
      </c>
      <c r="F19" s="1">
        <f>0-0</f>
        <v>0</v>
      </c>
    </row>
    <row r="20" ht="14.25" customHeight="1">
      <c r="E20" s="1" t="s">
        <v>501</v>
      </c>
    </row>
    <row r="21" ht="14.25" customHeight="1">
      <c r="E21" s="1" t="s">
        <v>502</v>
      </c>
    </row>
    <row r="22" ht="14.25" customHeight="1"/>
    <row r="23" ht="14.25" customHeight="1"/>
    <row r="24" ht="14.25" customHeight="1"/>
    <row r="25" ht="14.25" customHeight="1"/>
    <row r="26" ht="14.25" customHeight="1"/>
    <row r="27" ht="14.25" customHeight="1"/>
    <row r="28" ht="14.25" customHeight="1">
      <c r="E28" s="1">
        <f>+(F12-F16-F19)/SQRT(F13^2/F14+F17^2/F18)</f>
        <v>-2.527296094</v>
      </c>
    </row>
    <row r="29" ht="14.25" customHeight="1"/>
    <row r="30" ht="14.25" customHeight="1"/>
    <row r="31" ht="14.25" customHeight="1">
      <c r="A31" s="1" t="s">
        <v>503</v>
      </c>
    </row>
    <row r="32" ht="14.25" customHeight="1"/>
    <row r="33" ht="14.25" customHeight="1"/>
    <row r="34" ht="14.25" customHeight="1">
      <c r="A34" s="99" t="s">
        <v>146</v>
      </c>
    </row>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c r="A46" s="1" t="str">
        <f>2*_xlfn.NORM.S.DIST(E28,TRUE)</f>
        <v>#N/A</v>
      </c>
    </row>
    <row r="47" ht="14.25" customHeight="1"/>
    <row r="48" ht="14.25" customHeight="1">
      <c r="A48" s="1" t="s">
        <v>504</v>
      </c>
    </row>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21.0" customHeight="1"/>
    <row r="79" ht="85.5" customHeight="1">
      <c r="A79" s="15" t="s">
        <v>505</v>
      </c>
    </row>
    <row r="80" ht="14.25" customHeight="1">
      <c r="A80" s="1" t="s">
        <v>506</v>
      </c>
    </row>
    <row r="81" ht="14.25" customHeight="1">
      <c r="A81" s="1" t="s">
        <v>507</v>
      </c>
    </row>
    <row r="82" ht="14.25" customHeight="1">
      <c r="A82" s="1" t="s">
        <v>508</v>
      </c>
    </row>
    <row r="83" ht="14.25" customHeight="1">
      <c r="A83" s="1" t="s">
        <v>509</v>
      </c>
    </row>
    <row r="84" ht="14.25" customHeight="1">
      <c r="A84" s="1" t="s">
        <v>510</v>
      </c>
    </row>
    <row r="85" ht="14.25" customHeight="1"/>
    <row r="86" ht="14.25" customHeight="1">
      <c r="A86" s="100" t="s">
        <v>511</v>
      </c>
    </row>
    <row r="87" ht="14.25" customHeight="1"/>
    <row r="88" ht="14.25" customHeight="1">
      <c r="A88" s="98" t="s">
        <v>512</v>
      </c>
    </row>
    <row r="89" ht="14.25" customHeight="1"/>
    <row r="90" ht="14.25" customHeight="1">
      <c r="A90" s="1" t="s">
        <v>489</v>
      </c>
      <c r="E90" s="1" t="s">
        <v>490</v>
      </c>
      <c r="F90" s="1">
        <v>7.6</v>
      </c>
    </row>
    <row r="91" ht="14.25" customHeight="1">
      <c r="A91" s="1" t="s">
        <v>513</v>
      </c>
      <c r="E91" s="1" t="s">
        <v>492</v>
      </c>
      <c r="F91" s="1">
        <v>1.075</v>
      </c>
    </row>
    <row r="92" ht="14.25" customHeight="1">
      <c r="E92" s="1" t="s">
        <v>493</v>
      </c>
      <c r="F92" s="1">
        <v>10.0</v>
      </c>
    </row>
    <row r="93" ht="14.25" customHeight="1">
      <c r="A93" s="1" t="s">
        <v>494</v>
      </c>
      <c r="B93" s="1">
        <v>0.05</v>
      </c>
      <c r="E93" s="1" t="s">
        <v>514</v>
      </c>
      <c r="F93" s="1">
        <f>+F91*F91</f>
        <v>1.155625</v>
      </c>
    </row>
    <row r="94" ht="14.25" customHeight="1"/>
    <row r="95" ht="14.25" customHeight="1">
      <c r="A95" s="99" t="s">
        <v>219</v>
      </c>
      <c r="E95" s="1" t="s">
        <v>495</v>
      </c>
      <c r="F95" s="1">
        <v>6.75</v>
      </c>
    </row>
    <row r="96" ht="14.25" customHeight="1">
      <c r="E96" s="1" t="s">
        <v>496</v>
      </c>
      <c r="F96" s="1">
        <v>1.545</v>
      </c>
    </row>
    <row r="97" ht="14.25" customHeight="1">
      <c r="E97" s="1" t="s">
        <v>498</v>
      </c>
      <c r="F97" s="1">
        <v>12.0</v>
      </c>
    </row>
    <row r="98" ht="14.25" customHeight="1">
      <c r="A98" s="1" t="s">
        <v>468</v>
      </c>
      <c r="E98" s="1" t="s">
        <v>515</v>
      </c>
      <c r="F98" s="1">
        <f>+F96*F96</f>
        <v>2.387025</v>
      </c>
    </row>
    <row r="99" ht="14.25" customHeight="1">
      <c r="A99" s="1">
        <f>_xlfn.T.INV.2T(B93,20)</f>
        <v>2.085963447</v>
      </c>
    </row>
    <row r="100" ht="14.25" customHeight="1"/>
    <row r="101" ht="14.25" customHeight="1"/>
    <row r="102" ht="14.25" customHeight="1">
      <c r="A102" s="47" t="s">
        <v>516</v>
      </c>
    </row>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c r="D123" s="1">
        <f>+_xlfn.T.DIST.2T(1.48,20)</f>
        <v>0.1544541352</v>
      </c>
    </row>
    <row r="124" ht="14.25" customHeight="1">
      <c r="A124" s="98" t="s">
        <v>517</v>
      </c>
    </row>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c r="E148" s="1">
        <f>_xlfn.T.INV.2T(0.05,19.5)</f>
        <v>2.093024054</v>
      </c>
    </row>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c r="B167" s="1">
        <f>+_xlfn.T.DIST.2T(1.52,19.5)</f>
        <v>0.1449778428</v>
      </c>
    </row>
    <row r="168" ht="14.25" customHeight="1"/>
    <row r="169" ht="14.25" customHeight="1"/>
    <row r="170" ht="14.25" customHeight="1">
      <c r="A170" s="98" t="s">
        <v>518</v>
      </c>
    </row>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c r="C190" s="1">
        <v>3.912</v>
      </c>
    </row>
    <row r="191" ht="14.25" customHeight="1"/>
    <row r="192" ht="14.25" customHeight="1"/>
    <row r="193" ht="14.25" customHeight="1"/>
    <row r="194" ht="14.25" customHeight="1"/>
    <row r="195" ht="14.25" customHeight="1">
      <c r="C195" s="1" t="s">
        <v>519</v>
      </c>
    </row>
    <row r="196" ht="14.25" customHeight="1">
      <c r="C196" s="1" t="s">
        <v>520</v>
      </c>
    </row>
    <row r="197" ht="14.25" customHeight="1"/>
    <row r="198" ht="14.25" customHeight="1">
      <c r="C198" s="101" t="s">
        <v>328</v>
      </c>
      <c r="D198" s="101" t="s">
        <v>521</v>
      </c>
      <c r="E198" s="101" t="s">
        <v>522</v>
      </c>
      <c r="F198" s="101" t="s">
        <v>523</v>
      </c>
      <c r="G198" s="101" t="s">
        <v>402</v>
      </c>
      <c r="H198" s="101" t="s">
        <v>403</v>
      </c>
    </row>
    <row r="199" ht="14.25" customHeight="1">
      <c r="C199" s="102" t="s">
        <v>524</v>
      </c>
      <c r="D199" s="102">
        <v>4.0</v>
      </c>
      <c r="E199" s="102">
        <v>0.0</v>
      </c>
      <c r="F199" s="102" t="s">
        <v>525</v>
      </c>
      <c r="G199" s="102">
        <v>1.0</v>
      </c>
      <c r="H199" s="102">
        <f>+G199</f>
        <v>1</v>
      </c>
    </row>
    <row r="200" ht="14.25" customHeight="1">
      <c r="C200" s="101" t="s">
        <v>526</v>
      </c>
      <c r="D200" s="103">
        <v>6.0</v>
      </c>
      <c r="E200" s="101">
        <v>1.0</v>
      </c>
      <c r="F200" s="101" t="s">
        <v>527</v>
      </c>
      <c r="G200" s="101">
        <v>2.0</v>
      </c>
      <c r="H200" s="103">
        <v>5.0</v>
      </c>
    </row>
    <row r="201" ht="14.25" customHeight="1">
      <c r="C201" s="101" t="s">
        <v>528</v>
      </c>
      <c r="D201" s="103">
        <v>6.0</v>
      </c>
      <c r="E201" s="101">
        <v>1.0</v>
      </c>
      <c r="F201" s="101" t="s">
        <v>527</v>
      </c>
      <c r="G201" s="101">
        <v>3.0</v>
      </c>
      <c r="H201" s="103">
        <v>5.0</v>
      </c>
    </row>
    <row r="202" ht="14.25" customHeight="1">
      <c r="C202" s="102" t="s">
        <v>529</v>
      </c>
      <c r="D202" s="104">
        <v>6.0</v>
      </c>
      <c r="E202" s="102">
        <v>0.0</v>
      </c>
      <c r="F202" s="102" t="s">
        <v>525</v>
      </c>
      <c r="G202" s="102">
        <v>4.0</v>
      </c>
      <c r="H202" s="104">
        <v>5.0</v>
      </c>
    </row>
    <row r="203" ht="14.25" customHeight="1">
      <c r="C203" s="102" t="s">
        <v>530</v>
      </c>
      <c r="D203" s="104">
        <v>6.0</v>
      </c>
      <c r="E203" s="102">
        <v>0.0</v>
      </c>
      <c r="F203" s="102" t="s">
        <v>525</v>
      </c>
      <c r="G203" s="102">
        <v>5.0</v>
      </c>
      <c r="H203" s="104">
        <v>5.0</v>
      </c>
    </row>
    <row r="204" ht="14.25" customHeight="1">
      <c r="C204" s="102" t="s">
        <v>531</v>
      </c>
      <c r="D204" s="104">
        <v>6.0</v>
      </c>
      <c r="E204" s="102">
        <v>0.0</v>
      </c>
      <c r="F204" s="102" t="s">
        <v>525</v>
      </c>
      <c r="G204" s="102">
        <v>6.0</v>
      </c>
      <c r="H204" s="104">
        <v>5.0</v>
      </c>
    </row>
    <row r="205" ht="14.25" customHeight="1">
      <c r="C205" s="102" t="s">
        <v>532</v>
      </c>
      <c r="D205" s="104">
        <v>6.0</v>
      </c>
      <c r="E205" s="102">
        <v>0.0</v>
      </c>
      <c r="F205" s="102" t="s">
        <v>525</v>
      </c>
      <c r="G205" s="102">
        <v>7.0</v>
      </c>
      <c r="H205" s="104">
        <v>5.0</v>
      </c>
    </row>
    <row r="206" ht="14.25" customHeight="1">
      <c r="C206" s="102" t="s">
        <v>533</v>
      </c>
      <c r="D206" s="104">
        <v>6.0</v>
      </c>
      <c r="E206" s="102">
        <v>0.0</v>
      </c>
      <c r="F206" s="102" t="s">
        <v>525</v>
      </c>
      <c r="G206" s="102">
        <v>8.0</v>
      </c>
      <c r="H206" s="104">
        <v>5.0</v>
      </c>
    </row>
    <row r="207" ht="14.25" customHeight="1">
      <c r="C207" s="101" t="s">
        <v>534</v>
      </c>
      <c r="D207" s="101">
        <v>7.0</v>
      </c>
      <c r="E207" s="101">
        <v>1.0</v>
      </c>
      <c r="F207" s="101" t="s">
        <v>527</v>
      </c>
      <c r="G207" s="101">
        <v>9.0</v>
      </c>
      <c r="H207" s="101">
        <v>11.5</v>
      </c>
    </row>
    <row r="208" ht="14.25" customHeight="1">
      <c r="C208" s="101" t="s">
        <v>535</v>
      </c>
      <c r="D208" s="101">
        <v>7.0</v>
      </c>
      <c r="E208" s="101">
        <v>1.0</v>
      </c>
      <c r="F208" s="101" t="s">
        <v>527</v>
      </c>
      <c r="G208" s="101">
        <v>10.0</v>
      </c>
      <c r="H208" s="101">
        <v>11.5</v>
      </c>
    </row>
    <row r="209" ht="14.25" customHeight="1">
      <c r="C209" s="102" t="s">
        <v>536</v>
      </c>
      <c r="D209" s="102">
        <v>7.0</v>
      </c>
      <c r="E209" s="102">
        <v>0.0</v>
      </c>
      <c r="F209" s="102" t="s">
        <v>525</v>
      </c>
      <c r="G209" s="102">
        <v>11.0</v>
      </c>
      <c r="H209" s="102">
        <v>11.5</v>
      </c>
    </row>
    <row r="210" ht="14.25" customHeight="1">
      <c r="C210" s="102" t="s">
        <v>537</v>
      </c>
      <c r="D210" s="102">
        <v>7.0</v>
      </c>
      <c r="E210" s="102">
        <v>0.0</v>
      </c>
      <c r="F210" s="102" t="s">
        <v>525</v>
      </c>
      <c r="G210" s="102">
        <v>12.0</v>
      </c>
      <c r="H210" s="102">
        <v>11.5</v>
      </c>
    </row>
    <row r="211" ht="14.25" customHeight="1">
      <c r="C211" s="102" t="s">
        <v>538</v>
      </c>
      <c r="D211" s="102">
        <v>7.0</v>
      </c>
      <c r="E211" s="102">
        <v>0.0</v>
      </c>
      <c r="F211" s="102" t="s">
        <v>525</v>
      </c>
      <c r="G211" s="102">
        <v>13.0</v>
      </c>
      <c r="H211" s="102">
        <v>11.5</v>
      </c>
    </row>
    <row r="212" ht="14.25" customHeight="1">
      <c r="C212" s="102" t="s">
        <v>539</v>
      </c>
      <c r="D212" s="102">
        <v>7.0</v>
      </c>
      <c r="E212" s="102">
        <v>0.0</v>
      </c>
      <c r="F212" s="102" t="s">
        <v>525</v>
      </c>
      <c r="G212" s="102">
        <v>14.0</v>
      </c>
      <c r="H212" s="102">
        <v>11.5</v>
      </c>
    </row>
    <row r="213" ht="14.25" customHeight="1">
      <c r="C213" s="101" t="s">
        <v>540</v>
      </c>
      <c r="D213" s="101">
        <v>8.0</v>
      </c>
      <c r="E213" s="101">
        <v>1.0</v>
      </c>
      <c r="F213" s="101" t="s">
        <v>527</v>
      </c>
      <c r="G213" s="101">
        <v>15.0</v>
      </c>
      <c r="H213" s="101">
        <v>16.5</v>
      </c>
    </row>
    <row r="214" ht="14.25" customHeight="1">
      <c r="C214" s="101" t="s">
        <v>541</v>
      </c>
      <c r="D214" s="101">
        <v>8.0</v>
      </c>
      <c r="E214" s="101">
        <v>1.0</v>
      </c>
      <c r="F214" s="101" t="s">
        <v>527</v>
      </c>
      <c r="G214" s="101">
        <v>16.0</v>
      </c>
      <c r="H214" s="101">
        <v>16.5</v>
      </c>
    </row>
    <row r="215" ht="14.25" customHeight="1">
      <c r="C215" s="101" t="s">
        <v>542</v>
      </c>
      <c r="D215" s="101">
        <v>8.0</v>
      </c>
      <c r="E215" s="101">
        <v>1.0</v>
      </c>
      <c r="F215" s="101" t="s">
        <v>527</v>
      </c>
      <c r="G215" s="101">
        <v>17.0</v>
      </c>
      <c r="H215" s="101">
        <v>16.5</v>
      </c>
    </row>
    <row r="216" ht="14.25" customHeight="1">
      <c r="C216" s="101" t="s">
        <v>543</v>
      </c>
      <c r="D216" s="101">
        <v>8.0</v>
      </c>
      <c r="E216" s="101">
        <v>1.0</v>
      </c>
      <c r="F216" s="101" t="s">
        <v>527</v>
      </c>
      <c r="G216" s="101">
        <v>18.0</v>
      </c>
      <c r="H216" s="101">
        <v>16.5</v>
      </c>
    </row>
    <row r="217" ht="14.25" customHeight="1">
      <c r="C217" s="101" t="s">
        <v>544</v>
      </c>
      <c r="D217" s="101">
        <v>9.0</v>
      </c>
      <c r="E217" s="101">
        <v>1.0</v>
      </c>
      <c r="F217" s="101" t="s">
        <v>527</v>
      </c>
      <c r="G217" s="101">
        <v>19.0</v>
      </c>
      <c r="H217" s="101">
        <v>20.0</v>
      </c>
    </row>
    <row r="218" ht="14.25" customHeight="1">
      <c r="C218" s="101" t="s">
        <v>545</v>
      </c>
      <c r="D218" s="101">
        <v>9.0</v>
      </c>
      <c r="E218" s="101">
        <v>1.0</v>
      </c>
      <c r="F218" s="101" t="s">
        <v>527</v>
      </c>
      <c r="G218" s="101">
        <v>20.0</v>
      </c>
      <c r="H218" s="101">
        <v>20.0</v>
      </c>
    </row>
    <row r="219" ht="14.25" customHeight="1">
      <c r="C219" s="102" t="s">
        <v>546</v>
      </c>
      <c r="D219" s="102">
        <v>9.0</v>
      </c>
      <c r="E219" s="102">
        <v>0.0</v>
      </c>
      <c r="F219" s="102" t="s">
        <v>525</v>
      </c>
      <c r="G219" s="102">
        <v>21.0</v>
      </c>
      <c r="H219" s="102">
        <v>20.0</v>
      </c>
    </row>
    <row r="220" ht="14.25" customHeight="1">
      <c r="C220" s="102" t="s">
        <v>547</v>
      </c>
      <c r="D220" s="102">
        <v>10.0</v>
      </c>
      <c r="E220" s="102">
        <v>0.0</v>
      </c>
      <c r="F220" s="102" t="s">
        <v>525</v>
      </c>
      <c r="G220" s="102">
        <v>22.0</v>
      </c>
      <c r="H220" s="102">
        <v>22.0</v>
      </c>
    </row>
    <row r="221" ht="14.25" customHeight="1"/>
    <row r="222" ht="14.25" customHeight="1"/>
    <row r="223" ht="14.25" customHeight="1"/>
    <row r="224" ht="14.25" customHeight="1"/>
    <row r="225" ht="14.25" customHeight="1">
      <c r="C225" s="101" t="s">
        <v>328</v>
      </c>
      <c r="D225" s="101" t="s">
        <v>521</v>
      </c>
      <c r="E225" s="101" t="s">
        <v>522</v>
      </c>
      <c r="F225" s="101" t="s">
        <v>402</v>
      </c>
      <c r="G225" s="101" t="s">
        <v>403</v>
      </c>
    </row>
    <row r="226" ht="14.25" customHeight="1">
      <c r="C226" s="102" t="s">
        <v>524</v>
      </c>
      <c r="D226" s="102">
        <v>4.0</v>
      </c>
      <c r="E226" s="102">
        <v>0.0</v>
      </c>
      <c r="F226" s="102">
        <v>1.0</v>
      </c>
      <c r="G226" s="102">
        <f>+F226</f>
        <v>1</v>
      </c>
    </row>
    <row r="227" ht="14.25" customHeight="1">
      <c r="C227" s="102" t="s">
        <v>529</v>
      </c>
      <c r="D227" s="104">
        <v>6.0</v>
      </c>
      <c r="E227" s="102">
        <v>0.0</v>
      </c>
      <c r="F227" s="102">
        <v>4.0</v>
      </c>
      <c r="G227" s="104">
        <v>5.0</v>
      </c>
      <c r="H227" s="1" t="s">
        <v>548</v>
      </c>
      <c r="I227" s="1">
        <f>SUM(G226:G237)</f>
        <v>114</v>
      </c>
    </row>
    <row r="228" ht="14.25" customHeight="1">
      <c r="C228" s="102" t="s">
        <v>530</v>
      </c>
      <c r="D228" s="104">
        <v>6.0</v>
      </c>
      <c r="E228" s="102">
        <v>0.0</v>
      </c>
      <c r="F228" s="102">
        <v>5.0</v>
      </c>
      <c r="G228" s="104">
        <v>5.0</v>
      </c>
    </row>
    <row r="229" ht="14.25" customHeight="1">
      <c r="C229" s="102" t="s">
        <v>531</v>
      </c>
      <c r="D229" s="104">
        <v>6.0</v>
      </c>
      <c r="E229" s="102">
        <v>0.0</v>
      </c>
      <c r="F229" s="102">
        <v>6.0</v>
      </c>
      <c r="G229" s="104">
        <v>5.0</v>
      </c>
    </row>
    <row r="230" ht="14.25" customHeight="1">
      <c r="C230" s="102" t="s">
        <v>532</v>
      </c>
      <c r="D230" s="104">
        <v>6.0</v>
      </c>
      <c r="E230" s="102">
        <v>0.0</v>
      </c>
      <c r="F230" s="102">
        <v>7.0</v>
      </c>
      <c r="G230" s="104">
        <v>5.0</v>
      </c>
    </row>
    <row r="231" ht="14.25" customHeight="1">
      <c r="C231" s="102" t="s">
        <v>533</v>
      </c>
      <c r="D231" s="104">
        <v>6.0</v>
      </c>
      <c r="E231" s="102">
        <v>0.0</v>
      </c>
      <c r="F231" s="102">
        <v>8.0</v>
      </c>
      <c r="G231" s="104">
        <v>5.0</v>
      </c>
    </row>
    <row r="232" ht="14.25" customHeight="1">
      <c r="C232" s="102" t="s">
        <v>536</v>
      </c>
      <c r="D232" s="102">
        <v>7.0</v>
      </c>
      <c r="E232" s="102">
        <v>0.0</v>
      </c>
      <c r="F232" s="102">
        <v>11.0</v>
      </c>
      <c r="G232" s="102">
        <v>11.5</v>
      </c>
    </row>
    <row r="233" ht="14.25" customHeight="1">
      <c r="C233" s="102" t="s">
        <v>537</v>
      </c>
      <c r="D233" s="102">
        <v>7.0</v>
      </c>
      <c r="E233" s="102">
        <v>0.0</v>
      </c>
      <c r="F233" s="102">
        <v>12.0</v>
      </c>
      <c r="G233" s="102">
        <v>11.5</v>
      </c>
    </row>
    <row r="234" ht="14.25" customHeight="1">
      <c r="C234" s="102" t="s">
        <v>538</v>
      </c>
      <c r="D234" s="102">
        <v>7.0</v>
      </c>
      <c r="E234" s="102">
        <v>0.0</v>
      </c>
      <c r="F234" s="102">
        <v>13.0</v>
      </c>
      <c r="G234" s="102">
        <v>11.5</v>
      </c>
    </row>
    <row r="235" ht="14.25" customHeight="1">
      <c r="C235" s="102" t="s">
        <v>539</v>
      </c>
      <c r="D235" s="102">
        <v>7.0</v>
      </c>
      <c r="E235" s="102">
        <v>0.0</v>
      </c>
      <c r="F235" s="102">
        <v>14.0</v>
      </c>
      <c r="G235" s="102">
        <v>11.5</v>
      </c>
    </row>
    <row r="236" ht="14.25" customHeight="1">
      <c r="C236" s="102" t="s">
        <v>546</v>
      </c>
      <c r="D236" s="102">
        <v>9.0</v>
      </c>
      <c r="E236" s="102">
        <v>0.0</v>
      </c>
      <c r="F236" s="102">
        <v>21.0</v>
      </c>
      <c r="G236" s="102">
        <v>20.0</v>
      </c>
    </row>
    <row r="237" ht="14.25" customHeight="1">
      <c r="C237" s="102" t="s">
        <v>547</v>
      </c>
      <c r="D237" s="102">
        <v>10.0</v>
      </c>
      <c r="E237" s="102">
        <v>0.0</v>
      </c>
      <c r="F237" s="102">
        <v>22.0</v>
      </c>
      <c r="G237" s="102">
        <v>22.0</v>
      </c>
    </row>
    <row r="238" ht="14.25" customHeight="1">
      <c r="C238" s="101" t="s">
        <v>526</v>
      </c>
      <c r="D238" s="103">
        <v>6.0</v>
      </c>
      <c r="E238" s="101">
        <v>1.0</v>
      </c>
      <c r="F238" s="101">
        <v>2.0</v>
      </c>
      <c r="G238" s="103">
        <v>5.0</v>
      </c>
      <c r="H238" s="1" t="s">
        <v>549</v>
      </c>
    </row>
    <row r="239" ht="14.25" customHeight="1">
      <c r="C239" s="101" t="s">
        <v>528</v>
      </c>
      <c r="D239" s="103">
        <v>6.0</v>
      </c>
      <c r="E239" s="101">
        <v>1.0</v>
      </c>
      <c r="F239" s="101">
        <v>3.0</v>
      </c>
      <c r="G239" s="103">
        <v>5.0</v>
      </c>
      <c r="H239" s="1" t="s">
        <v>550</v>
      </c>
      <c r="I239" s="1">
        <f>SUM(G238:G247)</f>
        <v>139</v>
      </c>
    </row>
    <row r="240" ht="14.25" customHeight="1">
      <c r="C240" s="101" t="s">
        <v>534</v>
      </c>
      <c r="D240" s="101">
        <v>7.0</v>
      </c>
      <c r="E240" s="101">
        <v>1.0</v>
      </c>
      <c r="F240" s="101">
        <v>9.0</v>
      </c>
      <c r="G240" s="101">
        <v>11.5</v>
      </c>
    </row>
    <row r="241" ht="14.25" customHeight="1">
      <c r="C241" s="101" t="s">
        <v>535</v>
      </c>
      <c r="D241" s="101">
        <v>7.0</v>
      </c>
      <c r="E241" s="101">
        <v>1.0</v>
      </c>
      <c r="F241" s="101">
        <v>10.0</v>
      </c>
      <c r="G241" s="101">
        <v>11.5</v>
      </c>
    </row>
    <row r="242" ht="14.25" customHeight="1">
      <c r="C242" s="101" t="s">
        <v>540</v>
      </c>
      <c r="D242" s="101">
        <v>8.0</v>
      </c>
      <c r="E242" s="101">
        <v>1.0</v>
      </c>
      <c r="F242" s="101">
        <v>15.0</v>
      </c>
      <c r="G242" s="101">
        <v>16.5</v>
      </c>
    </row>
    <row r="243" ht="14.25" customHeight="1">
      <c r="C243" s="101" t="s">
        <v>541</v>
      </c>
      <c r="D243" s="101">
        <v>8.0</v>
      </c>
      <c r="E243" s="101">
        <v>1.0</v>
      </c>
      <c r="F243" s="101">
        <v>16.0</v>
      </c>
      <c r="G243" s="101">
        <v>16.5</v>
      </c>
    </row>
    <row r="244" ht="14.25" customHeight="1">
      <c r="C244" s="101" t="s">
        <v>542</v>
      </c>
      <c r="D244" s="101">
        <v>8.0</v>
      </c>
      <c r="E244" s="101">
        <v>1.0</v>
      </c>
      <c r="F244" s="101">
        <v>17.0</v>
      </c>
      <c r="G244" s="101">
        <v>16.5</v>
      </c>
    </row>
    <row r="245" ht="14.25" customHeight="1">
      <c r="C245" s="101" t="s">
        <v>543</v>
      </c>
      <c r="D245" s="101">
        <v>8.0</v>
      </c>
      <c r="E245" s="101">
        <v>1.0</v>
      </c>
      <c r="F245" s="101">
        <v>18.0</v>
      </c>
      <c r="G245" s="101">
        <v>16.5</v>
      </c>
    </row>
    <row r="246" ht="14.25" customHeight="1">
      <c r="C246" s="101" t="s">
        <v>544</v>
      </c>
      <c r="D246" s="101">
        <v>9.0</v>
      </c>
      <c r="E246" s="101">
        <v>1.0</v>
      </c>
      <c r="F246" s="101">
        <v>19.0</v>
      </c>
      <c r="G246" s="101">
        <v>20.0</v>
      </c>
    </row>
    <row r="247" ht="14.25" customHeight="1">
      <c r="C247" s="101" t="s">
        <v>545</v>
      </c>
      <c r="D247" s="101">
        <v>9.0</v>
      </c>
      <c r="E247" s="101">
        <v>1.0</v>
      </c>
      <c r="F247" s="101">
        <v>20.0</v>
      </c>
      <c r="G247" s="101">
        <v>20.0</v>
      </c>
    </row>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2">
    <mergeCell ref="A7:I10"/>
    <mergeCell ref="A79:J79"/>
  </mergeCells>
  <printOptions/>
  <pageMargins bottom="0.75" footer="0.0" header="0.0" left="0.7" right="0.7" top="0.75"/>
  <pageSetup paperSize="9" orientation="portrait"/>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20.43"/>
    <col customWidth="1" min="2" max="26" width="10.71"/>
  </cols>
  <sheetData>
    <row r="1" ht="14.25" customHeight="1">
      <c r="A1" s="50" t="s">
        <v>551</v>
      </c>
    </row>
    <row r="2" ht="14.25" customHeight="1"/>
    <row r="3" ht="14.25" customHeight="1"/>
    <row r="4" ht="14.25" customHeight="1"/>
    <row r="5" ht="14.25" customHeight="1"/>
    <row r="6" ht="14.25" customHeight="1"/>
    <row r="7" ht="14.25" customHeight="1"/>
    <row r="8" ht="14.25" customHeight="1"/>
    <row r="9" ht="14.25" customHeight="1"/>
    <row r="10" ht="14.25" customHeight="1"/>
    <row r="11" ht="14.25" customHeight="1"/>
    <row r="12" ht="14.25" customHeight="1">
      <c r="A12" s="1" t="s">
        <v>552</v>
      </c>
      <c r="B12" s="15" t="s">
        <v>553</v>
      </c>
      <c r="C12" s="15" t="s">
        <v>554</v>
      </c>
      <c r="D12" s="105" t="s">
        <v>254</v>
      </c>
    </row>
    <row r="13" ht="14.25" customHeight="1">
      <c r="A13" s="1" t="s">
        <v>555</v>
      </c>
    </row>
    <row r="14" ht="14.25" customHeight="1">
      <c r="A14" s="1" t="s">
        <v>556</v>
      </c>
      <c r="B14" s="1">
        <v>36.0</v>
      </c>
      <c r="C14" s="1">
        <v>15.0</v>
      </c>
      <c r="D14" s="1">
        <f t="shared" ref="D14:D16" si="1">SUM(B14:C14)</f>
        <v>51</v>
      </c>
    </row>
    <row r="15" ht="14.25" customHeight="1">
      <c r="A15" s="1" t="s">
        <v>557</v>
      </c>
      <c r="B15" s="1">
        <v>59.0</v>
      </c>
      <c r="C15" s="1">
        <v>100.0</v>
      </c>
      <c r="D15" s="1">
        <f t="shared" si="1"/>
        <v>159</v>
      </c>
    </row>
    <row r="16" ht="14.25" customHeight="1">
      <c r="A16" s="1" t="s">
        <v>254</v>
      </c>
      <c r="B16" s="1">
        <v>95.0</v>
      </c>
      <c r="C16" s="1">
        <v>115.0</v>
      </c>
      <c r="D16" s="1">
        <f t="shared" si="1"/>
        <v>210</v>
      </c>
    </row>
    <row r="17" ht="14.25" customHeight="1"/>
    <row r="18" ht="14.25" customHeight="1"/>
    <row r="19" ht="14.25" customHeight="1"/>
    <row r="20" ht="14.25" customHeight="1"/>
    <row r="21" ht="14.25" customHeight="1">
      <c r="A21" s="1" t="s">
        <v>558</v>
      </c>
    </row>
    <row r="22" ht="14.25" customHeight="1">
      <c r="A22" s="22" t="s">
        <v>552</v>
      </c>
      <c r="B22" s="15" t="s">
        <v>553</v>
      </c>
      <c r="C22" s="15" t="s">
        <v>554</v>
      </c>
      <c r="D22" s="105" t="s">
        <v>254</v>
      </c>
    </row>
    <row r="23" ht="14.25" customHeight="1">
      <c r="A23" s="22" t="s">
        <v>555</v>
      </c>
    </row>
    <row r="24" ht="14.25" customHeight="1">
      <c r="A24" s="22" t="s">
        <v>556</v>
      </c>
      <c r="B24" s="13">
        <f t="shared" ref="B24:B25" si="2">+B14/$B$16*100</f>
        <v>37.89473684</v>
      </c>
      <c r="C24" s="13">
        <f t="shared" ref="C24:C25" si="3">+C14/$C$16*100</f>
        <v>13.04347826</v>
      </c>
      <c r="D24" s="13">
        <f>+D14/D16*100</f>
        <v>24.28571429</v>
      </c>
    </row>
    <row r="25" ht="14.25" customHeight="1">
      <c r="A25" s="22" t="s">
        <v>557</v>
      </c>
      <c r="B25" s="13">
        <f t="shared" si="2"/>
        <v>62.10526316</v>
      </c>
      <c r="C25" s="13">
        <f t="shared" si="3"/>
        <v>86.95652174</v>
      </c>
      <c r="D25" s="13">
        <f>+D15/$D$16*100</f>
        <v>75.71428571</v>
      </c>
    </row>
    <row r="26" ht="14.25" customHeight="1">
      <c r="A26" s="22" t="s">
        <v>254</v>
      </c>
      <c r="B26" s="13">
        <f t="shared" ref="B26:D26" si="4">SUM(B24:B25)</f>
        <v>100</v>
      </c>
      <c r="C26" s="13">
        <f t="shared" si="4"/>
        <v>100</v>
      </c>
      <c r="D26" s="13">
        <f t="shared" si="4"/>
        <v>100</v>
      </c>
    </row>
    <row r="27" ht="14.25" customHeight="1"/>
    <row r="28" ht="14.25" customHeight="1"/>
    <row r="29" ht="14.25" customHeight="1">
      <c r="A29" s="22" t="s">
        <v>559</v>
      </c>
      <c r="B29" s="1" t="s">
        <v>560</v>
      </c>
    </row>
    <row r="30" ht="14.25" customHeight="1">
      <c r="A30" s="22" t="s">
        <v>561</v>
      </c>
      <c r="B30" s="1" t="s">
        <v>562</v>
      </c>
    </row>
    <row r="31" ht="14.25" customHeight="1"/>
    <row r="32" ht="14.25" customHeight="1">
      <c r="A32" s="41" t="s">
        <v>128</v>
      </c>
    </row>
    <row r="33" ht="14.25" customHeight="1">
      <c r="D33" s="1" t="s">
        <v>563</v>
      </c>
      <c r="E33" s="1">
        <f>+B14/B16</f>
        <v>0.3789473684</v>
      </c>
    </row>
    <row r="34" ht="14.25" customHeight="1">
      <c r="A34" s="1" t="s">
        <v>564</v>
      </c>
      <c r="B34" s="1">
        <f>+NORMSINV(0.975)</f>
        <v>1.959963986</v>
      </c>
      <c r="D34" s="1" t="s">
        <v>565</v>
      </c>
      <c r="E34" s="1">
        <f>+C14/C16</f>
        <v>0.1304347826</v>
      </c>
    </row>
    <row r="35" ht="14.25" customHeight="1"/>
    <row r="36" ht="14.25" customHeight="1">
      <c r="D36" s="1" t="s">
        <v>566</v>
      </c>
      <c r="E36" s="1">
        <f>+(E33*B16+E34*C16)/(D16)</f>
        <v>0.2428571429</v>
      </c>
    </row>
    <row r="37" ht="14.25" customHeight="1">
      <c r="D37" s="1" t="s">
        <v>567</v>
      </c>
      <c r="E37" s="1">
        <f>1-E36</f>
        <v>0.7571428571</v>
      </c>
    </row>
    <row r="38" ht="14.25" customHeight="1"/>
    <row r="39" ht="14.25" customHeight="1"/>
    <row r="40" ht="14.25" customHeight="1"/>
    <row r="41" ht="14.25" customHeight="1"/>
    <row r="42" ht="14.25" customHeight="1"/>
    <row r="43" ht="14.25" customHeight="1">
      <c r="E43" s="1" t="s">
        <v>568</v>
      </c>
    </row>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6">
    <mergeCell ref="B12:B13"/>
    <mergeCell ref="C12:C13"/>
    <mergeCell ref="D12:D13"/>
    <mergeCell ref="B22:B23"/>
    <mergeCell ref="C22:C23"/>
    <mergeCell ref="D22:D23"/>
  </mergeCells>
  <printOptions/>
  <pageMargins bottom="0.75" footer="0.0" header="0.0" left="0.7" right="0.7" top="0.75"/>
  <pageSetup paperSize="9" orientation="portrait"/>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10.71"/>
  </cols>
  <sheetData>
    <row r="1" ht="14.25" customHeight="1"/>
    <row r="2" ht="14.25" customHeight="1"/>
    <row r="3" ht="14.25" customHeight="1"/>
    <row r="4" ht="14.25" customHeight="1"/>
    <row r="5" ht="14.25" customHeight="1"/>
    <row r="6" ht="14.25" customHeight="1"/>
    <row r="7" ht="14.25" customHeight="1"/>
    <row r="8" ht="14.25" customHeight="1"/>
    <row r="9" ht="14.25" customHeight="1"/>
    <row r="10" ht="14.25" customHeight="1"/>
    <row r="11" ht="14.25" customHeight="1"/>
    <row r="12" ht="14.25" customHeight="1"/>
    <row r="13" ht="14.25" customHeight="1"/>
    <row r="14" ht="14.25" customHeight="1"/>
    <row r="15" ht="14.25" customHeight="1"/>
    <row r="16"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c r="A43" s="1" t="s">
        <v>569</v>
      </c>
    </row>
    <row r="44" ht="14.25" customHeight="1"/>
    <row r="45" ht="14.25" customHeight="1"/>
    <row r="46" ht="14.25" customHeight="1"/>
    <row r="47" ht="14.25" customHeight="1"/>
    <row r="48" ht="14.25" customHeight="1"/>
    <row r="49" ht="14.25" customHeight="1"/>
    <row r="50" ht="14.25" customHeight="1"/>
    <row r="51" ht="14.25" customHeight="1">
      <c r="A51" s="1" t="s">
        <v>570</v>
      </c>
    </row>
    <row r="52" ht="14.25" customHeight="1"/>
    <row r="53" ht="14.25" customHeight="1"/>
    <row r="54" ht="14.25" customHeight="1"/>
    <row r="55" ht="14.25" customHeight="1">
      <c r="A55" s="1" t="s">
        <v>571</v>
      </c>
    </row>
    <row r="56" ht="14.25" customHeight="1">
      <c r="A56" s="1" t="s">
        <v>572</v>
      </c>
    </row>
    <row r="57" ht="14.25" customHeight="1"/>
    <row r="58" ht="14.25" customHeight="1">
      <c r="A58" s="1" t="s">
        <v>573</v>
      </c>
    </row>
    <row r="59" ht="14.25" customHeight="1">
      <c r="A59" s="1" t="s">
        <v>574</v>
      </c>
    </row>
    <row r="60" ht="14.25" customHeight="1">
      <c r="A60" s="1" t="s">
        <v>575</v>
      </c>
    </row>
    <row r="61" ht="14.25" customHeight="1"/>
    <row r="62" ht="14.25" customHeight="1">
      <c r="A62" s="1" t="s">
        <v>576</v>
      </c>
    </row>
    <row r="63" ht="14.25" customHeight="1">
      <c r="A63" s="1" t="s">
        <v>577</v>
      </c>
    </row>
    <row r="64" ht="14.25" customHeight="1"/>
    <row r="65" ht="14.25" customHeight="1"/>
    <row r="66" ht="14.25" customHeight="1"/>
    <row r="67" ht="14.25" customHeight="1">
      <c r="A67" s="1" t="s">
        <v>578</v>
      </c>
    </row>
    <row r="68" ht="14.25" customHeight="1"/>
    <row r="69" ht="15.75" customHeight="1">
      <c r="A69" s="15" t="s">
        <v>579</v>
      </c>
      <c r="B69" s="105" t="s">
        <v>580</v>
      </c>
      <c r="C69" s="105" t="s">
        <v>581</v>
      </c>
      <c r="D69" s="105" t="s">
        <v>582</v>
      </c>
    </row>
    <row r="70" ht="14.25" customHeight="1"/>
    <row r="71" ht="14.25" customHeight="1">
      <c r="A71" s="22" t="s">
        <v>556</v>
      </c>
      <c r="B71" s="22">
        <v>350.0</v>
      </c>
      <c r="C71" s="22">
        <v>578.0</v>
      </c>
      <c r="D71" s="22">
        <f t="shared" ref="D71:D72" si="1">SUM(B71:C71)</f>
        <v>928</v>
      </c>
    </row>
    <row r="72" ht="14.25" customHeight="1">
      <c r="A72" s="22" t="s">
        <v>557</v>
      </c>
      <c r="B72" s="22">
        <v>43.0</v>
      </c>
      <c r="C72" s="22">
        <v>113.0</v>
      </c>
      <c r="D72" s="22">
        <f t="shared" si="1"/>
        <v>156</v>
      </c>
    </row>
    <row r="73" ht="14.25" customHeight="1">
      <c r="A73" s="22" t="s">
        <v>254</v>
      </c>
      <c r="B73" s="22">
        <f t="shared" ref="B73:D73" si="2">SUM(B71:B72)</f>
        <v>393</v>
      </c>
      <c r="C73" s="22">
        <f t="shared" si="2"/>
        <v>691</v>
      </c>
      <c r="D73" s="22">
        <f t="shared" si="2"/>
        <v>1084</v>
      </c>
    </row>
    <row r="74" ht="14.25" customHeight="1"/>
    <row r="75" ht="14.25" customHeight="1"/>
    <row r="76" ht="14.25" customHeight="1">
      <c r="A76" s="22" t="s">
        <v>583</v>
      </c>
      <c r="B76" s="1">
        <f>+B71/B73</f>
        <v>0.8905852417</v>
      </c>
    </row>
    <row r="77" ht="14.25" customHeight="1">
      <c r="A77" s="22" t="s">
        <v>584</v>
      </c>
      <c r="B77" s="1">
        <f>+C71/C73</f>
        <v>0.8364688857</v>
      </c>
    </row>
    <row r="78" ht="14.25" customHeight="1"/>
    <row r="79" ht="14.25" customHeight="1">
      <c r="A79" s="1" t="s">
        <v>585</v>
      </c>
      <c r="B79" s="1" t="s">
        <v>586</v>
      </c>
    </row>
    <row r="80" ht="14.25" customHeight="1">
      <c r="B80" s="1">
        <f>+(B73*B76+C73*B77)/(B73+C73)</f>
        <v>0.8560885609</v>
      </c>
    </row>
    <row r="81" ht="14.25" customHeight="1"/>
    <row r="82" ht="14.25" customHeight="1">
      <c r="A82" s="1" t="s">
        <v>578</v>
      </c>
    </row>
    <row r="83" ht="14.25" customHeight="1">
      <c r="A83" s="1">
        <f>+(B76-B77)/SQRT(B80*(1-B80)*(1/B73+1/C73))</f>
        <v>2.440294259</v>
      </c>
    </row>
    <row r="84" ht="14.25" customHeight="1">
      <c r="G84" s="1">
        <f>+A83*A83</f>
        <v>5.955036071</v>
      </c>
    </row>
    <row r="85" ht="14.25" customHeight="1"/>
    <row r="86" ht="14.25" customHeight="1">
      <c r="A86" s="1" t="s">
        <v>587</v>
      </c>
      <c r="B86" s="1" t="s">
        <v>588</v>
      </c>
    </row>
    <row r="87" ht="14.25" customHeight="1">
      <c r="B87" s="1" t="str">
        <f>2*_xlfn.NORM.S.DIST(-A83,TRUE)</f>
        <v>#N/A</v>
      </c>
    </row>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4">
    <mergeCell ref="A69:A70"/>
    <mergeCell ref="B69:B70"/>
    <mergeCell ref="C69:C70"/>
    <mergeCell ref="D69:D70"/>
  </mergeCells>
  <printOptions/>
  <pageMargins bottom="0.75" footer="0.0" header="0.0" left="0.7" right="0.7" top="0.75"/>
  <pageSetup orientation="landscape"/>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 width="17.14"/>
    <col customWidth="1" min="3" max="3" width="7.71"/>
    <col customWidth="1" min="4" max="4" width="8.71"/>
    <col customWidth="1" min="5" max="6" width="10.71"/>
    <col customWidth="1" min="7" max="7" width="12.29"/>
    <col customWidth="1" min="8" max="26" width="10.71"/>
  </cols>
  <sheetData>
    <row r="1" ht="14.25" customHeight="1">
      <c r="A1" s="1" t="s">
        <v>589</v>
      </c>
    </row>
    <row r="2" ht="14.25" customHeight="1"/>
    <row r="3" ht="14.25" customHeight="1">
      <c r="A3" s="47"/>
      <c r="C3" s="22" t="s">
        <v>590</v>
      </c>
      <c r="D3" s="22"/>
      <c r="E3" s="22"/>
    </row>
    <row r="4" ht="14.25" customHeight="1">
      <c r="A4" s="22"/>
      <c r="B4" s="22" t="s">
        <v>591</v>
      </c>
      <c r="C4" s="22" t="s">
        <v>592</v>
      </c>
      <c r="D4" s="22" t="s">
        <v>593</v>
      </c>
      <c r="E4" s="22"/>
    </row>
    <row r="5" ht="14.25" customHeight="1">
      <c r="A5" s="22"/>
      <c r="B5" s="22">
        <v>28.0</v>
      </c>
      <c r="C5" s="22">
        <v>34.0</v>
      </c>
      <c r="D5" s="22">
        <v>41.0</v>
      </c>
      <c r="E5" s="22"/>
    </row>
    <row r="6" ht="14.25" customHeight="1">
      <c r="A6" s="22"/>
      <c r="B6" s="22">
        <v>27.0</v>
      </c>
      <c r="C6" s="22">
        <v>29.0</v>
      </c>
      <c r="D6" s="22">
        <v>35.0</v>
      </c>
      <c r="E6" s="22"/>
    </row>
    <row r="7" ht="14.25" customHeight="1">
      <c r="A7" s="22"/>
      <c r="B7" s="22">
        <v>33.0</v>
      </c>
      <c r="C7" s="22">
        <v>24.0</v>
      </c>
      <c r="D7" s="22">
        <v>37.0</v>
      </c>
      <c r="E7" s="22"/>
      <c r="F7" s="1">
        <f>+COUNT(B5:D9)</f>
        <v>15</v>
      </c>
    </row>
    <row r="8" ht="14.25" customHeight="1">
      <c r="A8" s="22"/>
      <c r="B8" s="22">
        <v>28.0</v>
      </c>
      <c r="C8" s="22">
        <v>30.0</v>
      </c>
      <c r="D8" s="22">
        <v>39.0</v>
      </c>
      <c r="E8" s="22"/>
    </row>
    <row r="9" ht="14.25" customHeight="1">
      <c r="A9" s="28"/>
      <c r="B9" s="28">
        <v>34.0</v>
      </c>
      <c r="C9" s="28">
        <v>28.0</v>
      </c>
      <c r="D9" s="28">
        <v>33.0</v>
      </c>
      <c r="E9" s="28" t="s">
        <v>254</v>
      </c>
    </row>
    <row r="10" ht="14.25" customHeight="1">
      <c r="A10" s="22" t="s">
        <v>594</v>
      </c>
      <c r="B10" s="22">
        <f t="shared" ref="B10:D10" si="1">+AVERAGE(B5:B9)</f>
        <v>30</v>
      </c>
      <c r="C10" s="22">
        <f t="shared" si="1"/>
        <v>29</v>
      </c>
      <c r="D10" s="22">
        <f t="shared" si="1"/>
        <v>37</v>
      </c>
      <c r="E10" s="22">
        <f>+AVERAGE(B5:D9)</f>
        <v>32</v>
      </c>
    </row>
    <row r="11" ht="14.25" customHeight="1">
      <c r="A11" s="22" t="s">
        <v>595</v>
      </c>
      <c r="B11" s="22"/>
      <c r="C11" s="22"/>
      <c r="D11" s="22"/>
      <c r="E11" s="13">
        <f>+_xlfn.STDEV.S(B5:D9)</f>
        <v>4.810702354</v>
      </c>
    </row>
    <row r="12" ht="14.25" customHeight="1">
      <c r="A12" s="22" t="s">
        <v>596</v>
      </c>
      <c r="B12" s="22"/>
      <c r="C12" s="22"/>
      <c r="D12" s="22"/>
      <c r="E12" s="13">
        <f>+_xlfn.VAR.S(B5:D9)</f>
        <v>23.14285714</v>
      </c>
    </row>
    <row r="13" ht="14.25" customHeight="1">
      <c r="A13" s="22"/>
      <c r="B13" s="22"/>
      <c r="C13" s="22"/>
      <c r="D13" s="22"/>
      <c r="E13" s="22"/>
    </row>
    <row r="14" ht="14.25" customHeight="1">
      <c r="A14" s="22" t="s">
        <v>597</v>
      </c>
    </row>
    <row r="15" ht="14.25" customHeight="1">
      <c r="A15" s="90" t="s">
        <v>598</v>
      </c>
    </row>
    <row r="16"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c r="A32" s="1" t="s">
        <v>599</v>
      </c>
    </row>
    <row r="33" ht="14.25" customHeight="1">
      <c r="A33" s="1">
        <f>+_xlfn.F.INV(0.95,2,12)</f>
        <v>3.885293835</v>
      </c>
    </row>
    <row r="34" ht="14.25" customHeight="1">
      <c r="H34" s="1" t="s">
        <v>600</v>
      </c>
    </row>
    <row r="35" ht="14.25" customHeight="1"/>
    <row r="36" ht="14.25" customHeight="1"/>
    <row r="37" ht="14.25" customHeight="1"/>
    <row r="38" ht="14.25" customHeight="1">
      <c r="H38" s="1">
        <f>+B40-B47</f>
        <v>134</v>
      </c>
    </row>
    <row r="39" ht="14.25" customHeight="1"/>
    <row r="40" ht="14.25" customHeight="1">
      <c r="B40" s="1">
        <f>+E12*(F7-1)</f>
        <v>324</v>
      </c>
    </row>
    <row r="41" ht="14.25" customHeight="1">
      <c r="F41" s="1" t="s">
        <v>601</v>
      </c>
    </row>
    <row r="42" ht="14.25" customHeight="1">
      <c r="A42" s="1" t="s">
        <v>602</v>
      </c>
    </row>
    <row r="43" ht="14.25" customHeight="1"/>
    <row r="44" ht="14.25" customHeight="1"/>
    <row r="45" ht="14.25" customHeight="1"/>
    <row r="46" ht="14.25" customHeight="1"/>
    <row r="47" ht="14.25" customHeight="1">
      <c r="B47" s="1">
        <f>5*(B10-E10)^2+5*(C10-E10)^2+5*(D10-E10)^2</f>
        <v>190</v>
      </c>
    </row>
    <row r="48" ht="14.25" customHeight="1"/>
    <row r="49" ht="14.25" customHeight="1"/>
    <row r="50" ht="14.25" customHeight="1">
      <c r="A50" s="22" t="s">
        <v>603</v>
      </c>
      <c r="B50" s="22" t="s">
        <v>604</v>
      </c>
      <c r="C50" s="22" t="s">
        <v>605</v>
      </c>
      <c r="E50" s="22" t="s">
        <v>606</v>
      </c>
      <c r="F50" s="22" t="s">
        <v>607</v>
      </c>
      <c r="G50" s="22" t="s">
        <v>599</v>
      </c>
      <c r="H50" s="22" t="s">
        <v>148</v>
      </c>
    </row>
    <row r="51" ht="14.25" customHeight="1">
      <c r="A51" s="22" t="s">
        <v>608</v>
      </c>
      <c r="B51" s="22">
        <f>+B47</f>
        <v>190</v>
      </c>
      <c r="C51" s="22" t="s">
        <v>609</v>
      </c>
      <c r="E51" s="22">
        <f>+B47/2</f>
        <v>95</v>
      </c>
      <c r="F51" s="23">
        <f>95/11.17</f>
        <v>8.504923903</v>
      </c>
      <c r="G51" s="13">
        <f>+A33</f>
        <v>3.885293835</v>
      </c>
      <c r="H51" s="33">
        <f>1-_xlfn.F.DIST(F51,2,12,TRUE)</f>
        <v>0.005009735235</v>
      </c>
    </row>
    <row r="52" ht="14.25" customHeight="1">
      <c r="A52" s="22" t="s">
        <v>610</v>
      </c>
      <c r="B52" s="22">
        <f>+H38</f>
        <v>134</v>
      </c>
      <c r="C52" s="22" t="s">
        <v>611</v>
      </c>
      <c r="E52" s="23">
        <f>+H38/12</f>
        <v>11.16666667</v>
      </c>
      <c r="F52" s="22"/>
      <c r="G52" s="22"/>
    </row>
    <row r="53" ht="14.25" customHeight="1">
      <c r="A53" s="22" t="s">
        <v>254</v>
      </c>
      <c r="B53" s="22">
        <f>SUM(B51:B52)</f>
        <v>324</v>
      </c>
      <c r="C53" s="22">
        <v>14.0</v>
      </c>
      <c r="E53" s="22"/>
      <c r="F53" s="22"/>
      <c r="G53" s="22"/>
    </row>
    <row r="54" ht="14.25" customHeight="1">
      <c r="A54" s="22"/>
      <c r="B54" s="22"/>
      <c r="C54" s="22"/>
      <c r="D54" s="22"/>
      <c r="E54" s="22"/>
      <c r="F54" s="22"/>
      <c r="G54" s="22"/>
    </row>
    <row r="55" ht="14.25" customHeight="1">
      <c r="A55" s="22"/>
      <c r="B55" s="22"/>
      <c r="C55" s="22"/>
      <c r="D55" s="22"/>
      <c r="E55" s="22"/>
      <c r="F55" s="22"/>
      <c r="G55" s="22"/>
    </row>
    <row r="56" ht="14.25" customHeight="1"/>
    <row r="57" ht="14.25" customHeight="1"/>
    <row r="58" ht="14.25" customHeight="1"/>
    <row r="59" ht="14.25" customHeight="1">
      <c r="A59" s="106" t="s">
        <v>612</v>
      </c>
    </row>
    <row r="60" ht="14.25" customHeight="1"/>
    <row r="61" ht="14.25" customHeight="1">
      <c r="A61" s="47"/>
      <c r="C61" s="22" t="s">
        <v>590</v>
      </c>
      <c r="D61" s="22"/>
      <c r="E61" s="22"/>
      <c r="G61" s="47"/>
      <c r="I61" s="22" t="s">
        <v>590</v>
      </c>
      <c r="J61" s="22"/>
      <c r="K61" s="22"/>
    </row>
    <row r="62" ht="14.25" customHeight="1">
      <c r="A62" s="22"/>
      <c r="B62" s="22" t="s">
        <v>591</v>
      </c>
      <c r="C62" s="22" t="s">
        <v>592</v>
      </c>
      <c r="D62" s="22" t="s">
        <v>593</v>
      </c>
      <c r="E62" s="22"/>
      <c r="G62" s="22"/>
      <c r="H62" s="22" t="s">
        <v>591</v>
      </c>
      <c r="I62" s="22" t="s">
        <v>592</v>
      </c>
      <c r="J62" s="22" t="s">
        <v>593</v>
      </c>
      <c r="K62" s="22"/>
    </row>
    <row r="63" ht="14.25" customHeight="1">
      <c r="A63" s="22"/>
      <c r="B63" s="22">
        <v>28.0</v>
      </c>
      <c r="C63" s="22">
        <v>34.0</v>
      </c>
      <c r="D63" s="22">
        <v>41.0</v>
      </c>
      <c r="E63" s="22"/>
      <c r="G63" s="22"/>
      <c r="H63" s="22">
        <v>4.0</v>
      </c>
      <c r="I63" s="22">
        <v>10.5</v>
      </c>
      <c r="J63" s="22">
        <v>15.0</v>
      </c>
      <c r="K63" s="22"/>
    </row>
    <row r="64" ht="14.25" customHeight="1">
      <c r="A64" s="22"/>
      <c r="B64" s="22">
        <v>27.0</v>
      </c>
      <c r="C64" s="22">
        <v>29.0</v>
      </c>
      <c r="D64" s="22">
        <v>35.0</v>
      </c>
      <c r="E64" s="22"/>
      <c r="G64" s="22"/>
      <c r="H64" s="22">
        <v>2.0</v>
      </c>
      <c r="I64" s="22">
        <v>6.0</v>
      </c>
      <c r="J64" s="22">
        <v>12.0</v>
      </c>
      <c r="K64" s="22"/>
    </row>
    <row r="65" ht="14.25" customHeight="1">
      <c r="A65" s="22"/>
      <c r="B65" s="22">
        <v>33.0</v>
      </c>
      <c r="C65" s="22">
        <v>24.0</v>
      </c>
      <c r="D65" s="22">
        <v>37.0</v>
      </c>
      <c r="E65" s="22"/>
      <c r="G65" s="22"/>
      <c r="H65" s="22">
        <v>8.5</v>
      </c>
      <c r="I65" s="22">
        <v>1.0</v>
      </c>
      <c r="J65" s="22">
        <v>13.0</v>
      </c>
      <c r="K65" s="22"/>
    </row>
    <row r="66" ht="14.25" customHeight="1">
      <c r="A66" s="22"/>
      <c r="B66" s="22">
        <v>28.0</v>
      </c>
      <c r="C66" s="22">
        <v>30.0</v>
      </c>
      <c r="D66" s="22">
        <v>39.0</v>
      </c>
      <c r="E66" s="22"/>
      <c r="G66" s="22"/>
      <c r="H66" s="22">
        <v>4.0</v>
      </c>
      <c r="I66" s="22">
        <v>7.0</v>
      </c>
      <c r="J66" s="22">
        <v>14.0</v>
      </c>
      <c r="K66" s="22"/>
    </row>
    <row r="67" ht="14.25" customHeight="1">
      <c r="A67" s="28"/>
      <c r="B67" s="28">
        <v>34.0</v>
      </c>
      <c r="C67" s="28">
        <v>28.0</v>
      </c>
      <c r="D67" s="28">
        <v>33.0</v>
      </c>
      <c r="E67" s="28" t="s">
        <v>254</v>
      </c>
      <c r="G67" s="28"/>
      <c r="H67" s="28">
        <v>10.5</v>
      </c>
      <c r="I67" s="28">
        <v>4.0</v>
      </c>
      <c r="J67" s="28">
        <v>8.5</v>
      </c>
      <c r="K67" s="28" t="s">
        <v>254</v>
      </c>
    </row>
    <row r="68" ht="14.25" customHeight="1">
      <c r="A68" s="22" t="s">
        <v>594</v>
      </c>
      <c r="B68" s="22">
        <f t="shared" ref="B68:D68" si="2">+AVERAGE(B63:B67)</f>
        <v>30</v>
      </c>
      <c r="C68" s="22">
        <f t="shared" si="2"/>
        <v>29</v>
      </c>
      <c r="D68" s="22">
        <f t="shared" si="2"/>
        <v>37</v>
      </c>
      <c r="E68" s="22">
        <f>+AVERAGE(B63:D67)</f>
        <v>32</v>
      </c>
      <c r="G68" s="22" t="s">
        <v>613</v>
      </c>
      <c r="H68" s="22">
        <f t="shared" ref="H68:J68" si="3">SUM(H63:H67)</f>
        <v>29</v>
      </c>
      <c r="I68" s="22">
        <f t="shared" si="3"/>
        <v>28.5</v>
      </c>
      <c r="J68" s="22">
        <f t="shared" si="3"/>
        <v>62.5</v>
      </c>
      <c r="K68" s="22">
        <f>+AVERAGE(H63:J67)</f>
        <v>8</v>
      </c>
    </row>
    <row r="69" ht="14.25" customHeight="1">
      <c r="A69" s="22" t="s">
        <v>595</v>
      </c>
      <c r="B69" s="22"/>
      <c r="C69" s="22"/>
      <c r="D69" s="22"/>
      <c r="E69" s="13">
        <f>+_xlfn.STDEV.S(B63:D67)</f>
        <v>4.810702354</v>
      </c>
      <c r="G69" s="22" t="s">
        <v>614</v>
      </c>
      <c r="H69" s="22">
        <f t="shared" ref="H69:J69" si="4">+H68*H68</f>
        <v>841</v>
      </c>
      <c r="I69" s="22">
        <f t="shared" si="4"/>
        <v>812.25</v>
      </c>
      <c r="J69" s="22">
        <f t="shared" si="4"/>
        <v>3906.25</v>
      </c>
      <c r="K69" s="13">
        <f>+_xlfn.STDEV.S(H63:J67)</f>
        <v>4.448113565</v>
      </c>
    </row>
    <row r="70" ht="14.25" customHeight="1">
      <c r="A70" s="22" t="s">
        <v>596</v>
      </c>
      <c r="B70" s="22"/>
      <c r="C70" s="22"/>
      <c r="D70" s="22"/>
      <c r="E70" s="13">
        <f>+_xlfn.VAR.S(B63:D67)</f>
        <v>23.14285714</v>
      </c>
      <c r="G70" s="22" t="s">
        <v>615</v>
      </c>
      <c r="H70" s="22">
        <f t="shared" ref="H70:J70" si="5">+H69/5</f>
        <v>168.2</v>
      </c>
      <c r="I70" s="22">
        <f t="shared" si="5"/>
        <v>162.45</v>
      </c>
      <c r="J70" s="22">
        <f t="shared" si="5"/>
        <v>781.25</v>
      </c>
      <c r="K70" s="13">
        <f>+_xlfn.VAR.S(H63:J67)</f>
        <v>19.78571429</v>
      </c>
    </row>
    <row r="71" ht="14.25" customHeight="1"/>
    <row r="72" ht="14.25" customHeight="1"/>
    <row r="73" ht="14.25" customHeight="1"/>
    <row r="74" ht="14.25" customHeight="1"/>
    <row r="75" ht="14.25" customHeight="1">
      <c r="D75" s="47"/>
      <c r="F75" s="22"/>
      <c r="G75" s="22" t="s">
        <v>616</v>
      </c>
      <c r="H75" s="22" t="s">
        <v>617</v>
      </c>
    </row>
    <row r="76" ht="14.25" customHeight="1">
      <c r="D76" s="47"/>
      <c r="F76" s="107">
        <v>24.0</v>
      </c>
      <c r="G76" s="107">
        <v>1.0</v>
      </c>
      <c r="H76" s="107">
        <v>1.0</v>
      </c>
    </row>
    <row r="77" ht="14.25" customHeight="1">
      <c r="D77" s="47"/>
      <c r="F77" s="108">
        <v>27.0</v>
      </c>
      <c r="G77" s="108">
        <v>2.0</v>
      </c>
      <c r="H77" s="108">
        <v>2.0</v>
      </c>
    </row>
    <row r="78" ht="14.25" customHeight="1">
      <c r="D78" s="47"/>
      <c r="F78" s="108">
        <v>28.0</v>
      </c>
      <c r="G78" s="108">
        <v>3.0</v>
      </c>
      <c r="H78" s="108">
        <v>4.0</v>
      </c>
    </row>
    <row r="79" ht="14.25" customHeight="1">
      <c r="D79" s="47"/>
      <c r="F79" s="108">
        <v>28.0</v>
      </c>
      <c r="G79" s="108">
        <v>4.0</v>
      </c>
      <c r="H79" s="108">
        <v>4.0</v>
      </c>
    </row>
    <row r="80" ht="14.25" customHeight="1">
      <c r="D80" s="47"/>
      <c r="F80" s="107">
        <v>28.0</v>
      </c>
      <c r="G80" s="107">
        <v>5.0</v>
      </c>
      <c r="H80" s="107">
        <v>4.0</v>
      </c>
    </row>
    <row r="81" ht="14.25" customHeight="1">
      <c r="D81" s="47"/>
      <c r="F81" s="107">
        <v>29.0</v>
      </c>
      <c r="G81" s="107">
        <v>6.0</v>
      </c>
      <c r="H81" s="107">
        <v>6.0</v>
      </c>
    </row>
    <row r="82" ht="14.25" customHeight="1">
      <c r="D82" s="47"/>
      <c r="F82" s="107">
        <v>30.0</v>
      </c>
      <c r="G82" s="107">
        <v>7.0</v>
      </c>
      <c r="H82" s="107">
        <v>7.0</v>
      </c>
    </row>
    <row r="83" ht="14.25" customHeight="1">
      <c r="D83" s="47"/>
      <c r="F83" s="108">
        <v>33.0</v>
      </c>
      <c r="G83" s="108">
        <v>8.0</v>
      </c>
      <c r="H83" s="108">
        <v>8.5</v>
      </c>
    </row>
    <row r="84" ht="14.25" customHeight="1">
      <c r="D84" s="47"/>
      <c r="F84" s="109">
        <v>33.0</v>
      </c>
      <c r="G84" s="109">
        <v>9.0</v>
      </c>
      <c r="H84" s="109">
        <v>8.5</v>
      </c>
      <c r="K84" s="110"/>
    </row>
    <row r="85" ht="14.25" customHeight="1">
      <c r="D85" s="47"/>
      <c r="F85" s="107">
        <v>34.0</v>
      </c>
      <c r="G85" s="107">
        <v>10.0</v>
      </c>
      <c r="H85" s="107">
        <v>10.5</v>
      </c>
    </row>
    <row r="86" ht="14.25" customHeight="1">
      <c r="D86" s="47"/>
      <c r="F86" s="108">
        <v>34.0</v>
      </c>
      <c r="G86" s="108">
        <v>11.0</v>
      </c>
      <c r="H86" s="108">
        <v>10.5</v>
      </c>
    </row>
    <row r="87" ht="14.25" customHeight="1">
      <c r="D87" s="47"/>
      <c r="F87" s="109">
        <v>35.0</v>
      </c>
      <c r="G87" s="109">
        <v>12.0</v>
      </c>
      <c r="H87" s="109">
        <v>12.0</v>
      </c>
    </row>
    <row r="88" ht="14.25" customHeight="1">
      <c r="D88" s="47"/>
      <c r="F88" s="109">
        <v>37.0</v>
      </c>
      <c r="G88" s="109">
        <v>13.0</v>
      </c>
      <c r="H88" s="109">
        <v>13.0</v>
      </c>
    </row>
    <row r="89" ht="14.25" customHeight="1">
      <c r="D89" s="47"/>
      <c r="F89" s="109">
        <v>39.0</v>
      </c>
      <c r="G89" s="109">
        <v>14.0</v>
      </c>
      <c r="H89" s="109">
        <v>14.0</v>
      </c>
    </row>
    <row r="90" ht="14.25" customHeight="1">
      <c r="D90" s="47"/>
      <c r="F90" s="109">
        <v>41.0</v>
      </c>
      <c r="G90" s="109">
        <v>15.0</v>
      </c>
      <c r="H90" s="109">
        <v>15.0</v>
      </c>
    </row>
    <row r="91" ht="14.25" customHeight="1">
      <c r="D91" s="47"/>
      <c r="F91" s="22"/>
      <c r="G91" s="22"/>
      <c r="H91" s="22"/>
    </row>
    <row r="92" ht="14.25" customHeight="1">
      <c r="F92" s="22"/>
      <c r="G92" s="22"/>
      <c r="H92" s="22"/>
    </row>
    <row r="93" ht="14.25" customHeight="1">
      <c r="A93" s="47"/>
    </row>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4">
    <mergeCell ref="C50:D50"/>
    <mergeCell ref="C51:D51"/>
    <mergeCell ref="C52:D52"/>
    <mergeCell ref="C53:D53"/>
  </mergeCells>
  <printOptions/>
  <pageMargins bottom="0.75" footer="0.0" header="0.0" left="0.7" right="0.7" top="0.75"/>
  <pageSetup paperSize="9" orientation="portrait"/>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10.71"/>
  </cols>
  <sheetData>
    <row r="1" ht="14.25" customHeight="1">
      <c r="A1" s="1" t="s">
        <v>618</v>
      </c>
    </row>
    <row r="2" ht="14.25" customHeight="1"/>
    <row r="3" ht="14.25" customHeight="1"/>
    <row r="4" ht="14.25" customHeight="1"/>
    <row r="5" ht="14.25" customHeight="1"/>
    <row r="6" ht="14.25" customHeight="1"/>
    <row r="7" ht="14.25" customHeight="1"/>
    <row r="8" ht="14.25" customHeight="1"/>
    <row r="9" ht="14.25" customHeight="1"/>
    <row r="10" ht="14.25" customHeight="1"/>
    <row r="11" ht="14.25" customHeight="1"/>
    <row r="12" ht="14.25" customHeight="1"/>
    <row r="13" ht="14.25" customHeight="1"/>
    <row r="14" ht="14.25" customHeight="1"/>
    <row r="15" ht="14.25" customHeight="1"/>
    <row r="16"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rintOptions/>
  <pageMargins bottom="0.75" footer="0.0" header="0.0" left="0.7" right="0.7" top="0.75"/>
  <pageSetup orientation="landscape"/>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10.71"/>
  </cols>
  <sheetData>
    <row r="1" ht="14.25" customHeight="1">
      <c r="A1" s="1" t="s">
        <v>619</v>
      </c>
    </row>
    <row r="2" ht="14.25" customHeight="1">
      <c r="A2" s="22"/>
      <c r="B2" s="22" t="s">
        <v>32</v>
      </c>
      <c r="C2" s="22" t="s">
        <v>211</v>
      </c>
      <c r="D2" s="22"/>
    </row>
    <row r="3" ht="14.25" customHeight="1">
      <c r="A3" s="22" t="s">
        <v>620</v>
      </c>
      <c r="B3" s="22" t="s">
        <v>621</v>
      </c>
      <c r="C3" s="22" t="s">
        <v>622</v>
      </c>
      <c r="D3" s="22"/>
      <c r="E3" s="1" t="s">
        <v>623</v>
      </c>
      <c r="F3" s="1">
        <f>+INTERCEPT(B4:B18,C4:C18)</f>
        <v>18.81428571</v>
      </c>
    </row>
    <row r="4" ht="14.25" customHeight="1">
      <c r="A4" s="22">
        <v>1.0</v>
      </c>
      <c r="B4" s="22">
        <v>8.0</v>
      </c>
      <c r="C4" s="22">
        <v>95.0</v>
      </c>
      <c r="D4" s="22"/>
      <c r="E4" s="1" t="s">
        <v>624</v>
      </c>
      <c r="F4" s="1">
        <f>+SLOPE(B4:B18,C4:C18)</f>
        <v>-0.1235714286</v>
      </c>
    </row>
    <row r="5" ht="14.25" customHeight="1">
      <c r="A5" s="22">
        <v>2.0</v>
      </c>
      <c r="B5" s="22">
        <v>7.0</v>
      </c>
      <c r="C5" s="22">
        <v>90.0</v>
      </c>
      <c r="D5" s="22"/>
    </row>
    <row r="6" ht="14.25" customHeight="1">
      <c r="A6" s="22">
        <v>3.0</v>
      </c>
      <c r="B6" s="22">
        <v>7.0</v>
      </c>
      <c r="C6" s="22">
        <v>85.0</v>
      </c>
      <c r="D6" s="22"/>
    </row>
    <row r="7" ht="14.25" customHeight="1">
      <c r="A7" s="22">
        <v>4.0</v>
      </c>
      <c r="B7" s="22">
        <v>8.0</v>
      </c>
      <c r="C7" s="22">
        <v>80.0</v>
      </c>
      <c r="D7" s="22"/>
    </row>
    <row r="8" ht="14.25" customHeight="1">
      <c r="A8" s="22">
        <v>5.0</v>
      </c>
      <c r="B8" s="22">
        <v>9.0</v>
      </c>
      <c r="C8" s="22">
        <v>75.0</v>
      </c>
      <c r="D8" s="22"/>
      <c r="E8" s="1" t="s">
        <v>625</v>
      </c>
    </row>
    <row r="9" ht="14.25" customHeight="1">
      <c r="A9" s="22">
        <v>6.0</v>
      </c>
      <c r="B9" s="22">
        <v>10.0</v>
      </c>
      <c r="C9" s="22">
        <v>70.0</v>
      </c>
      <c r="D9" s="22"/>
    </row>
    <row r="10" ht="14.25" customHeight="1">
      <c r="A10" s="22">
        <v>7.0</v>
      </c>
      <c r="B10" s="22">
        <v>14.0</v>
      </c>
      <c r="C10" s="22">
        <v>65.0</v>
      </c>
      <c r="D10" s="22"/>
      <c r="E10" s="1" t="s">
        <v>626</v>
      </c>
      <c r="F10" s="37" t="s">
        <v>627</v>
      </c>
      <c r="G10" s="1">
        <f>+_xlfn.COVARIANCE.S(B4:B18,C4:C18)</f>
        <v>-61.78571429</v>
      </c>
      <c r="H10" s="1">
        <f>+G10/G11</f>
        <v>-0.1235714286</v>
      </c>
    </row>
    <row r="11" ht="14.25" customHeight="1">
      <c r="A11" s="22">
        <v>8.0</v>
      </c>
      <c r="B11" s="22">
        <v>12.0</v>
      </c>
      <c r="C11" s="22">
        <v>60.0</v>
      </c>
      <c r="D11" s="22"/>
      <c r="F11" s="1" t="s">
        <v>628</v>
      </c>
      <c r="G11" s="1">
        <f>+_xlfn.VAR.S(C4:C18)</f>
        <v>500</v>
      </c>
    </row>
    <row r="12" ht="14.25" customHeight="1">
      <c r="A12" s="22">
        <v>9.0</v>
      </c>
      <c r="B12" s="22">
        <v>12.0</v>
      </c>
      <c r="C12" s="22">
        <v>55.0</v>
      </c>
      <c r="D12" s="22"/>
    </row>
    <row r="13" ht="14.25" customHeight="1">
      <c r="A13" s="22">
        <v>10.0</v>
      </c>
      <c r="B13" s="22">
        <v>13.0</v>
      </c>
      <c r="C13" s="22">
        <v>50.0</v>
      </c>
      <c r="D13" s="22"/>
    </row>
    <row r="14" ht="14.25" customHeight="1">
      <c r="A14" s="22">
        <v>11.0</v>
      </c>
      <c r="B14" s="22">
        <v>14.0</v>
      </c>
      <c r="C14" s="22">
        <v>45.0</v>
      </c>
      <c r="D14" s="22"/>
      <c r="E14" s="1" t="s">
        <v>629</v>
      </c>
      <c r="F14" s="1" t="s">
        <v>630</v>
      </c>
    </row>
    <row r="15" ht="14.25" customHeight="1">
      <c r="A15" s="22">
        <v>12.0</v>
      </c>
      <c r="B15" s="22">
        <v>14.0</v>
      </c>
      <c r="C15" s="22">
        <v>40.0</v>
      </c>
      <c r="D15" s="22"/>
      <c r="F15" s="1">
        <f>+AVERAGE(B4:B18)-H10*AVERAGE(C4:C18)</f>
        <v>18.81428571</v>
      </c>
    </row>
    <row r="16" ht="14.25" customHeight="1">
      <c r="A16" s="22">
        <v>13.0</v>
      </c>
      <c r="B16" s="22">
        <v>11.0</v>
      </c>
      <c r="C16" s="22">
        <v>35.0</v>
      </c>
      <c r="D16" s="22"/>
    </row>
    <row r="17" ht="14.25" customHeight="1">
      <c r="A17" s="22">
        <v>14.0</v>
      </c>
      <c r="B17" s="22">
        <v>16.0</v>
      </c>
      <c r="C17" s="22">
        <v>30.0</v>
      </c>
      <c r="D17" s="22"/>
    </row>
    <row r="18" ht="14.25" customHeight="1">
      <c r="A18" s="22">
        <v>15.0</v>
      </c>
      <c r="B18" s="22">
        <v>16.0</v>
      </c>
      <c r="C18" s="22">
        <v>25.0</v>
      </c>
      <c r="D18" s="22"/>
    </row>
    <row r="19" ht="14.25" customHeight="1">
      <c r="A19" s="22"/>
      <c r="B19" s="22"/>
      <c r="C19" s="22"/>
      <c r="D19" s="22"/>
    </row>
    <row r="20" ht="14.25" customHeight="1">
      <c r="A20" s="22"/>
      <c r="B20" s="22"/>
      <c r="C20" s="22"/>
      <c r="D20" s="22"/>
    </row>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rintOptions/>
  <pageMargins bottom="0.75" footer="0.0" header="0.0" left="0.7" right="0.7" top="0.75"/>
  <pageSetup paperSize="9" orientation="portrait"/>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10.71"/>
  </cols>
  <sheetData>
    <row r="1" ht="14.25" customHeight="1">
      <c r="A1" s="111" t="s">
        <v>519</v>
      </c>
    </row>
    <row r="2" ht="14.25" customHeight="1">
      <c r="A2" s="1" t="s">
        <v>631</v>
      </c>
      <c r="B2" s="1" t="s">
        <v>632</v>
      </c>
      <c r="C2" s="1" t="s">
        <v>402</v>
      </c>
      <c r="D2" s="1" t="s">
        <v>403</v>
      </c>
      <c r="F2" s="1" t="s">
        <v>631</v>
      </c>
      <c r="G2" s="1" t="s">
        <v>632</v>
      </c>
      <c r="H2" s="1" t="s">
        <v>402</v>
      </c>
      <c r="I2" s="1" t="s">
        <v>403</v>
      </c>
    </row>
    <row r="3" ht="14.25" customHeight="1">
      <c r="A3" s="112">
        <v>0.0</v>
      </c>
      <c r="B3" s="112">
        <v>2.0</v>
      </c>
      <c r="C3" s="1">
        <v>1.0</v>
      </c>
      <c r="D3" s="1">
        <v>1.0</v>
      </c>
      <c r="F3" s="112">
        <v>0.0</v>
      </c>
      <c r="G3" s="112">
        <v>2.0</v>
      </c>
      <c r="H3" s="1">
        <v>1.0</v>
      </c>
      <c r="I3" s="1">
        <v>1.0</v>
      </c>
    </row>
    <row r="4" ht="14.25" customHeight="1">
      <c r="A4" s="112">
        <v>1.0</v>
      </c>
      <c r="B4" s="112">
        <v>2.1</v>
      </c>
      <c r="C4" s="1">
        <v>2.0</v>
      </c>
      <c r="D4" s="1">
        <v>2.0</v>
      </c>
      <c r="F4" s="112">
        <v>0.0</v>
      </c>
      <c r="G4" s="112">
        <v>2.4</v>
      </c>
      <c r="H4" s="1">
        <v>3.0</v>
      </c>
      <c r="I4" s="1">
        <v>3.0</v>
      </c>
    </row>
    <row r="5" ht="14.25" customHeight="1">
      <c r="A5" s="112">
        <v>0.0</v>
      </c>
      <c r="B5" s="112">
        <v>2.4</v>
      </c>
      <c r="C5" s="1">
        <v>3.0</v>
      </c>
      <c r="D5" s="1">
        <v>3.0</v>
      </c>
      <c r="F5" s="112">
        <v>0.0</v>
      </c>
      <c r="G5" s="112">
        <v>2.7</v>
      </c>
      <c r="H5" s="1">
        <v>5.0</v>
      </c>
      <c r="I5" s="1">
        <v>5.0</v>
      </c>
    </row>
    <row r="6" ht="14.25" customHeight="1">
      <c r="A6" s="112">
        <v>1.0</v>
      </c>
      <c r="B6" s="112">
        <v>2.5</v>
      </c>
      <c r="C6" s="1">
        <v>4.0</v>
      </c>
      <c r="D6" s="1">
        <v>4.0</v>
      </c>
      <c r="F6" s="112">
        <v>0.0</v>
      </c>
      <c r="G6" s="112">
        <v>3.0</v>
      </c>
      <c r="H6" s="1">
        <v>6.0</v>
      </c>
      <c r="I6" s="1">
        <v>6.0</v>
      </c>
    </row>
    <row r="7" ht="14.25" customHeight="1">
      <c r="A7" s="112">
        <v>0.0</v>
      </c>
      <c r="B7" s="112">
        <v>2.7</v>
      </c>
      <c r="C7" s="1">
        <v>5.0</v>
      </c>
      <c r="D7" s="1">
        <v>5.0</v>
      </c>
      <c r="F7" s="112">
        <v>0.0</v>
      </c>
      <c r="G7" s="112">
        <v>3.6</v>
      </c>
      <c r="H7" s="1">
        <v>9.0</v>
      </c>
      <c r="I7" s="1">
        <v>9.5</v>
      </c>
    </row>
    <row r="8" ht="14.25" customHeight="1">
      <c r="A8" s="112">
        <v>0.0</v>
      </c>
      <c r="B8" s="112">
        <v>3.0</v>
      </c>
      <c r="C8" s="1">
        <v>6.0</v>
      </c>
      <c r="D8" s="1">
        <v>6.0</v>
      </c>
      <c r="F8" s="112">
        <v>0.0</v>
      </c>
      <c r="G8" s="112">
        <v>3.6</v>
      </c>
      <c r="H8" s="1">
        <v>10.0</v>
      </c>
      <c r="I8" s="1">
        <v>9.5</v>
      </c>
    </row>
    <row r="9" ht="14.25" customHeight="1">
      <c r="A9" s="112">
        <v>1.0</v>
      </c>
      <c r="B9" s="112">
        <v>3.1</v>
      </c>
      <c r="C9" s="1">
        <v>7.0</v>
      </c>
      <c r="D9" s="1">
        <v>7.0</v>
      </c>
      <c r="F9" s="112">
        <v>0.0</v>
      </c>
      <c r="G9" s="112">
        <v>5.2</v>
      </c>
      <c r="H9" s="1">
        <v>13.0</v>
      </c>
      <c r="I9" s="1">
        <v>13.5</v>
      </c>
    </row>
    <row r="10" ht="14.25" customHeight="1">
      <c r="A10" s="112">
        <v>1.0</v>
      </c>
      <c r="B10" s="112">
        <v>3.3</v>
      </c>
      <c r="C10" s="1">
        <v>8.0</v>
      </c>
      <c r="D10" s="1">
        <v>8.0</v>
      </c>
      <c r="F10" s="112">
        <v>0.0</v>
      </c>
      <c r="G10" s="112">
        <v>5.2</v>
      </c>
      <c r="H10" s="1">
        <v>14.0</v>
      </c>
      <c r="I10" s="1">
        <v>13.5</v>
      </c>
    </row>
    <row r="11" ht="14.25" customHeight="1">
      <c r="A11" s="112">
        <v>0.0</v>
      </c>
      <c r="B11" s="112">
        <v>3.6</v>
      </c>
      <c r="C11" s="1">
        <v>9.0</v>
      </c>
      <c r="D11" s="1">
        <v>9.5</v>
      </c>
      <c r="F11" s="112">
        <v>0.0</v>
      </c>
      <c r="G11" s="112">
        <v>5.9</v>
      </c>
      <c r="H11" s="1">
        <v>16.0</v>
      </c>
      <c r="I11" s="1">
        <v>16.0</v>
      </c>
    </row>
    <row r="12" ht="14.25" customHeight="1">
      <c r="A12" s="112">
        <v>0.0</v>
      </c>
      <c r="B12" s="112">
        <v>3.6</v>
      </c>
      <c r="C12" s="1">
        <v>10.0</v>
      </c>
      <c r="D12" s="1">
        <v>9.5</v>
      </c>
      <c r="F12" s="112">
        <v>0.0</v>
      </c>
      <c r="G12" s="112">
        <v>6.0</v>
      </c>
      <c r="H12" s="1">
        <v>17.0</v>
      </c>
      <c r="I12" s="1">
        <v>17.0</v>
      </c>
    </row>
    <row r="13" ht="14.25" customHeight="1">
      <c r="A13" s="112">
        <v>1.0</v>
      </c>
      <c r="B13" s="112">
        <v>4.1</v>
      </c>
      <c r="C13" s="1">
        <v>11.0</v>
      </c>
      <c r="D13" s="1">
        <v>11.0</v>
      </c>
      <c r="F13" s="112">
        <v>0.0</v>
      </c>
      <c r="G13" s="112">
        <v>6.6</v>
      </c>
      <c r="H13" s="1">
        <v>19.0</v>
      </c>
      <c r="I13" s="1">
        <v>19.0</v>
      </c>
    </row>
    <row r="14" ht="14.25" customHeight="1">
      <c r="A14" s="112">
        <v>1.0</v>
      </c>
      <c r="B14" s="112">
        <v>4.5</v>
      </c>
      <c r="C14" s="1">
        <v>12.0</v>
      </c>
      <c r="D14" s="1">
        <v>12.0</v>
      </c>
      <c r="F14" s="112">
        <v>0.0</v>
      </c>
      <c r="G14" s="112">
        <v>8.0</v>
      </c>
      <c r="H14" s="1">
        <v>21.0</v>
      </c>
      <c r="I14" s="1">
        <v>21.0</v>
      </c>
    </row>
    <row r="15" ht="14.25" customHeight="1">
      <c r="A15" s="112">
        <v>0.0</v>
      </c>
      <c r="B15" s="112">
        <v>5.2</v>
      </c>
      <c r="C15" s="1">
        <v>13.0</v>
      </c>
      <c r="D15" s="1">
        <v>13.5</v>
      </c>
      <c r="F15" s="112">
        <v>1.0</v>
      </c>
      <c r="G15" s="112">
        <v>2.1</v>
      </c>
      <c r="H15" s="1">
        <v>2.0</v>
      </c>
      <c r="I15" s="1">
        <v>2.0</v>
      </c>
    </row>
    <row r="16" ht="14.25" customHeight="1">
      <c r="A16" s="112">
        <v>0.0</v>
      </c>
      <c r="B16" s="112">
        <v>5.2</v>
      </c>
      <c r="C16" s="1">
        <v>14.0</v>
      </c>
      <c r="D16" s="1">
        <v>13.5</v>
      </c>
      <c r="F16" s="112">
        <v>1.0</v>
      </c>
      <c r="G16" s="112">
        <v>2.5</v>
      </c>
      <c r="H16" s="1">
        <v>4.0</v>
      </c>
      <c r="I16" s="1">
        <v>4.0</v>
      </c>
      <c r="K16" s="1" t="s">
        <v>493</v>
      </c>
      <c r="L16" s="1">
        <v>12.0</v>
      </c>
      <c r="M16" s="1" t="s">
        <v>550</v>
      </c>
      <c r="N16" s="1">
        <f>SUM(I3:I14)</f>
        <v>134</v>
      </c>
    </row>
    <row r="17" ht="14.25" customHeight="1">
      <c r="A17" s="112">
        <v>1.0</v>
      </c>
      <c r="B17" s="112">
        <v>5.8</v>
      </c>
      <c r="C17" s="1">
        <v>15.0</v>
      </c>
      <c r="D17" s="1">
        <v>15.0</v>
      </c>
      <c r="F17" s="112">
        <v>1.0</v>
      </c>
      <c r="G17" s="112">
        <v>3.1</v>
      </c>
      <c r="H17" s="1">
        <v>7.0</v>
      </c>
      <c r="I17" s="1">
        <v>7.0</v>
      </c>
      <c r="K17" s="1" t="s">
        <v>498</v>
      </c>
      <c r="L17" s="1">
        <v>12.0</v>
      </c>
      <c r="M17" s="1" t="s">
        <v>548</v>
      </c>
      <c r="N17" s="1">
        <f>SUM(I15:I26)</f>
        <v>166</v>
      </c>
    </row>
    <row r="18" ht="14.25" customHeight="1">
      <c r="A18" s="112">
        <v>0.0</v>
      </c>
      <c r="B18" s="112">
        <v>5.9</v>
      </c>
      <c r="C18" s="1">
        <v>16.0</v>
      </c>
      <c r="D18" s="1">
        <v>16.0</v>
      </c>
      <c r="F18" s="112">
        <v>1.0</v>
      </c>
      <c r="G18" s="112">
        <v>3.3</v>
      </c>
      <c r="H18" s="1">
        <v>8.0</v>
      </c>
      <c r="I18" s="1">
        <v>8.0</v>
      </c>
    </row>
    <row r="19" ht="14.25" customHeight="1">
      <c r="A19" s="112">
        <v>0.0</v>
      </c>
      <c r="B19" s="112">
        <v>6.0</v>
      </c>
      <c r="C19" s="1">
        <v>17.0</v>
      </c>
      <c r="D19" s="1">
        <v>17.0</v>
      </c>
      <c r="F19" s="112">
        <v>1.0</v>
      </c>
      <c r="G19" s="112">
        <v>4.1</v>
      </c>
      <c r="H19" s="1">
        <v>11.0</v>
      </c>
      <c r="I19" s="1">
        <v>11.0</v>
      </c>
    </row>
    <row r="20" ht="14.25" customHeight="1">
      <c r="A20" s="112">
        <v>1.0</v>
      </c>
      <c r="B20" s="112">
        <v>6.3</v>
      </c>
      <c r="C20" s="1">
        <v>18.0</v>
      </c>
      <c r="D20" s="1">
        <v>18.0</v>
      </c>
      <c r="F20" s="112">
        <v>1.0</v>
      </c>
      <c r="G20" s="112">
        <v>4.5</v>
      </c>
      <c r="H20" s="1">
        <v>12.0</v>
      </c>
      <c r="I20" s="1">
        <v>12.0</v>
      </c>
      <c r="K20" s="1" t="s">
        <v>633</v>
      </c>
      <c r="L20" s="1">
        <f>+L17*L16+(L16*(L16+1)/2)-N16</f>
        <v>88</v>
      </c>
    </row>
    <row r="21" ht="14.25" customHeight="1">
      <c r="A21" s="112">
        <v>0.0</v>
      </c>
      <c r="B21" s="112">
        <v>6.6</v>
      </c>
      <c r="C21" s="1">
        <v>19.0</v>
      </c>
      <c r="D21" s="1">
        <v>19.0</v>
      </c>
      <c r="F21" s="112">
        <v>1.0</v>
      </c>
      <c r="G21" s="112">
        <v>5.8</v>
      </c>
      <c r="H21" s="1">
        <v>15.0</v>
      </c>
      <c r="I21" s="1">
        <v>15.0</v>
      </c>
      <c r="K21" s="1" t="s">
        <v>634</v>
      </c>
      <c r="L21" s="1">
        <f>+L16*L17-L20</f>
        <v>56</v>
      </c>
    </row>
    <row r="22" ht="14.25" customHeight="1">
      <c r="A22" s="112">
        <v>1.0</v>
      </c>
      <c r="B22" s="112">
        <v>7.4</v>
      </c>
      <c r="C22" s="1">
        <v>20.0</v>
      </c>
      <c r="D22" s="1">
        <v>20.0</v>
      </c>
      <c r="F22" s="112">
        <v>1.0</v>
      </c>
      <c r="G22" s="112">
        <v>6.3</v>
      </c>
      <c r="H22" s="1">
        <v>18.0</v>
      </c>
      <c r="I22" s="1">
        <v>18.0</v>
      </c>
      <c r="K22" s="1" t="s">
        <v>635</v>
      </c>
      <c r="L22" s="1">
        <f>+MAX(L20,L21)</f>
        <v>88</v>
      </c>
    </row>
    <row r="23" ht="14.25" customHeight="1">
      <c r="A23" s="112">
        <v>0.0</v>
      </c>
      <c r="B23" s="112">
        <v>8.0</v>
      </c>
      <c r="C23" s="1">
        <v>21.0</v>
      </c>
      <c r="D23" s="1">
        <v>21.0</v>
      </c>
      <c r="F23" s="112">
        <v>1.0</v>
      </c>
      <c r="G23" s="112">
        <v>7.4</v>
      </c>
      <c r="H23" s="1">
        <v>20.0</v>
      </c>
      <c r="I23" s="1">
        <v>20.0</v>
      </c>
      <c r="K23" s="1" t="s">
        <v>636</v>
      </c>
      <c r="L23" s="1">
        <v>107.0</v>
      </c>
    </row>
    <row r="24" ht="14.25" customHeight="1">
      <c r="A24" s="112">
        <v>1.0</v>
      </c>
      <c r="B24" s="112">
        <v>8.3</v>
      </c>
      <c r="C24" s="1">
        <v>22.0</v>
      </c>
      <c r="D24" s="1">
        <v>22.0</v>
      </c>
      <c r="F24" s="112">
        <v>1.0</v>
      </c>
      <c r="G24" s="112">
        <v>8.3</v>
      </c>
      <c r="H24" s="1">
        <v>22.0</v>
      </c>
      <c r="I24" s="1">
        <v>22.0</v>
      </c>
    </row>
    <row r="25" ht="14.25" customHeight="1">
      <c r="A25" s="112">
        <v>1.0</v>
      </c>
      <c r="B25" s="112">
        <v>9.0</v>
      </c>
      <c r="C25" s="1">
        <v>23.0</v>
      </c>
      <c r="D25" s="1">
        <v>23.0</v>
      </c>
      <c r="F25" s="112">
        <v>1.0</v>
      </c>
      <c r="G25" s="112">
        <v>9.0</v>
      </c>
      <c r="H25" s="1">
        <v>23.0</v>
      </c>
      <c r="I25" s="1">
        <v>23.0</v>
      </c>
      <c r="K25" s="1" t="s">
        <v>637</v>
      </c>
    </row>
    <row r="26" ht="14.25" customHeight="1">
      <c r="A26" s="112">
        <v>1.0</v>
      </c>
      <c r="B26" s="112">
        <v>9.1</v>
      </c>
      <c r="C26" s="1">
        <v>24.0</v>
      </c>
      <c r="D26" s="1">
        <v>24.0</v>
      </c>
      <c r="F26" s="112">
        <v>1.0</v>
      </c>
      <c r="G26" s="112">
        <v>9.1</v>
      </c>
      <c r="H26" s="1">
        <v>24.0</v>
      </c>
      <c r="I26" s="1">
        <v>24.0</v>
      </c>
    </row>
    <row r="27" ht="14.25" customHeight="1"/>
    <row r="28" ht="14.25" customHeight="1">
      <c r="A28" s="1" t="s">
        <v>638</v>
      </c>
      <c r="K28" s="94" t="s">
        <v>244</v>
      </c>
      <c r="L28" s="94"/>
      <c r="M28" s="94"/>
      <c r="N28" s="113" t="s">
        <v>243</v>
      </c>
      <c r="O28" s="113"/>
    </row>
    <row r="29" ht="14.25" customHeight="1">
      <c r="A29" s="1" t="s">
        <v>639</v>
      </c>
      <c r="K29" s="94"/>
      <c r="L29" s="94"/>
      <c r="M29" s="94"/>
      <c r="N29" s="113"/>
      <c r="O29" s="113"/>
    </row>
    <row r="30" ht="14.25" customHeight="1">
      <c r="K30" s="94"/>
      <c r="L30" s="94"/>
      <c r="M30" s="94"/>
      <c r="N30" s="113"/>
      <c r="O30" s="113"/>
    </row>
    <row r="31" ht="14.25" customHeight="1">
      <c r="A31" s="1" t="s">
        <v>623</v>
      </c>
      <c r="B31" s="1">
        <f>+INTERCEPT(B3:B26,A3:A26)</f>
        <v>4.516666667</v>
      </c>
      <c r="D31" s="1" t="s">
        <v>631</v>
      </c>
      <c r="E31" s="1" t="s">
        <v>632</v>
      </c>
      <c r="F31" s="1" t="s">
        <v>640</v>
      </c>
      <c r="G31" s="1" t="s">
        <v>641</v>
      </c>
      <c r="H31" s="1" t="s">
        <v>642</v>
      </c>
      <c r="K31" s="94"/>
      <c r="L31" s="94"/>
      <c r="M31" s="94"/>
      <c r="N31" s="113"/>
      <c r="O31" s="113"/>
    </row>
    <row r="32" ht="14.25" customHeight="1">
      <c r="A32" s="1" t="s">
        <v>624</v>
      </c>
      <c r="B32" s="1">
        <f>+SLOPE(B3:B26,A3:A26)</f>
        <v>0.9416666667</v>
      </c>
      <c r="D32" s="112">
        <v>0.0</v>
      </c>
      <c r="E32" s="112">
        <v>2.0</v>
      </c>
      <c r="F32" s="1">
        <f t="shared" ref="F32:F55" si="1">+$B$31+$B$32*D32</f>
        <v>4.516666667</v>
      </c>
      <c r="G32" s="1">
        <f t="shared" ref="G32:G55" si="2">+E32-F32</f>
        <v>-2.516666667</v>
      </c>
      <c r="H32" s="1">
        <f t="shared" ref="H32:H55" si="3">+G32*G32</f>
        <v>6.333611111</v>
      </c>
      <c r="J32" s="1">
        <v>0.0</v>
      </c>
      <c r="M32" s="1">
        <v>107.0</v>
      </c>
      <c r="O32" s="1">
        <f>+L22+L21</f>
        <v>144</v>
      </c>
    </row>
    <row r="33" ht="14.25" customHeight="1">
      <c r="D33" s="112">
        <v>1.0</v>
      </c>
      <c r="E33" s="112">
        <v>2.1</v>
      </c>
      <c r="F33" s="1">
        <f t="shared" si="1"/>
        <v>5.458333333</v>
      </c>
      <c r="G33" s="1">
        <f t="shared" si="2"/>
        <v>-3.358333333</v>
      </c>
      <c r="H33" s="1">
        <f t="shared" si="3"/>
        <v>11.27840278</v>
      </c>
    </row>
    <row r="34" ht="14.25" customHeight="1">
      <c r="A34" s="1" t="s">
        <v>643</v>
      </c>
      <c r="B34" s="1" t="s">
        <v>644</v>
      </c>
      <c r="D34" s="112">
        <v>0.0</v>
      </c>
      <c r="E34" s="112">
        <v>2.4</v>
      </c>
      <c r="F34" s="1">
        <f t="shared" si="1"/>
        <v>4.516666667</v>
      </c>
      <c r="G34" s="1">
        <f t="shared" si="2"/>
        <v>-2.116666667</v>
      </c>
      <c r="H34" s="1">
        <f t="shared" si="3"/>
        <v>4.480277778</v>
      </c>
    </row>
    <row r="35" ht="14.25" customHeight="1">
      <c r="D35" s="112">
        <v>1.0</v>
      </c>
      <c r="E35" s="112">
        <v>2.5</v>
      </c>
      <c r="F35" s="1">
        <f t="shared" si="1"/>
        <v>5.458333333</v>
      </c>
      <c r="G35" s="1">
        <f t="shared" si="2"/>
        <v>-2.958333333</v>
      </c>
      <c r="H35" s="1">
        <f t="shared" si="3"/>
        <v>8.751736111</v>
      </c>
    </row>
    <row r="36" ht="14.25" customHeight="1">
      <c r="A36" s="1" t="s">
        <v>645</v>
      </c>
      <c r="B36" s="1">
        <f>+H56</f>
        <v>111.1058333</v>
      </c>
      <c r="D36" s="112">
        <v>0.0</v>
      </c>
      <c r="E36" s="112">
        <v>2.7</v>
      </c>
      <c r="F36" s="1">
        <f t="shared" si="1"/>
        <v>4.516666667</v>
      </c>
      <c r="G36" s="1">
        <f t="shared" si="2"/>
        <v>-1.816666667</v>
      </c>
      <c r="H36" s="1">
        <f t="shared" si="3"/>
        <v>3.300277778</v>
      </c>
    </row>
    <row r="37" ht="14.25" customHeight="1">
      <c r="A37" s="1" t="s">
        <v>646</v>
      </c>
      <c r="C37" s="1">
        <f>+SQRT(B36/22)</f>
        <v>2.2472795</v>
      </c>
      <c r="D37" s="112">
        <v>0.0</v>
      </c>
      <c r="E37" s="112">
        <v>3.0</v>
      </c>
      <c r="F37" s="1">
        <f t="shared" si="1"/>
        <v>4.516666667</v>
      </c>
      <c r="G37" s="1">
        <f t="shared" si="2"/>
        <v>-1.516666667</v>
      </c>
      <c r="H37" s="1">
        <f t="shared" si="3"/>
        <v>2.300277778</v>
      </c>
    </row>
    <row r="38" ht="14.25" customHeight="1">
      <c r="A38" s="1" t="s">
        <v>647</v>
      </c>
      <c r="C38" s="1">
        <f>+C37/(_xlfn.STDEV.S(D32:D55)*SQRT(24-1))</f>
        <v>0.9174480141</v>
      </c>
      <c r="D38" s="112">
        <v>1.0</v>
      </c>
      <c r="E38" s="112">
        <v>3.1</v>
      </c>
      <c r="F38" s="1">
        <f t="shared" si="1"/>
        <v>5.458333333</v>
      </c>
      <c r="G38" s="1">
        <f t="shared" si="2"/>
        <v>-2.358333333</v>
      </c>
      <c r="H38" s="1">
        <f t="shared" si="3"/>
        <v>5.561736111</v>
      </c>
    </row>
    <row r="39" ht="14.25" customHeight="1">
      <c r="D39" s="112">
        <v>1.0</v>
      </c>
      <c r="E39" s="112">
        <v>3.3</v>
      </c>
      <c r="F39" s="1">
        <f t="shared" si="1"/>
        <v>5.458333333</v>
      </c>
      <c r="G39" s="1">
        <f t="shared" si="2"/>
        <v>-2.158333333</v>
      </c>
      <c r="H39" s="1">
        <f t="shared" si="3"/>
        <v>4.658402778</v>
      </c>
    </row>
    <row r="40" ht="14.25" customHeight="1">
      <c r="A40" s="1" t="s">
        <v>648</v>
      </c>
      <c r="B40" s="1">
        <f>+B32/C38</f>
        <v>1.026397847</v>
      </c>
      <c r="D40" s="112">
        <v>0.0</v>
      </c>
      <c r="E40" s="112">
        <v>3.6</v>
      </c>
      <c r="F40" s="1">
        <f t="shared" si="1"/>
        <v>4.516666667</v>
      </c>
      <c r="G40" s="1">
        <f t="shared" si="2"/>
        <v>-0.9166666667</v>
      </c>
      <c r="H40" s="1">
        <f t="shared" si="3"/>
        <v>0.8402777778</v>
      </c>
    </row>
    <row r="41" ht="14.25" customHeight="1">
      <c r="D41" s="112">
        <v>0.0</v>
      </c>
      <c r="E41" s="112">
        <v>3.6</v>
      </c>
      <c r="F41" s="1">
        <f t="shared" si="1"/>
        <v>4.516666667</v>
      </c>
      <c r="G41" s="1">
        <f t="shared" si="2"/>
        <v>-0.9166666667</v>
      </c>
      <c r="H41" s="1">
        <f t="shared" si="3"/>
        <v>0.8402777778</v>
      </c>
    </row>
    <row r="42" ht="14.25" customHeight="1">
      <c r="A42" s="1" t="s">
        <v>649</v>
      </c>
      <c r="B42" s="1">
        <f>_xlfn.T.DIST(B40,24,TRUE)</f>
        <v>0.8425307604</v>
      </c>
      <c r="D42" s="112">
        <v>1.0</v>
      </c>
      <c r="E42" s="112">
        <v>4.1</v>
      </c>
      <c r="F42" s="1">
        <f t="shared" si="1"/>
        <v>5.458333333</v>
      </c>
      <c r="G42" s="1">
        <f t="shared" si="2"/>
        <v>-1.358333333</v>
      </c>
      <c r="H42" s="1">
        <f t="shared" si="3"/>
        <v>1.845069444</v>
      </c>
    </row>
    <row r="43" ht="14.25" customHeight="1">
      <c r="A43" s="1" t="s">
        <v>650</v>
      </c>
      <c r="D43" s="112">
        <v>1.0</v>
      </c>
      <c r="E43" s="112">
        <v>4.5</v>
      </c>
      <c r="F43" s="1">
        <f t="shared" si="1"/>
        <v>5.458333333</v>
      </c>
      <c r="G43" s="1">
        <f t="shared" si="2"/>
        <v>-0.9583333333</v>
      </c>
      <c r="H43" s="1">
        <f t="shared" si="3"/>
        <v>0.9184027778</v>
      </c>
    </row>
    <row r="44" ht="14.25" customHeight="1">
      <c r="D44" s="112">
        <v>0.0</v>
      </c>
      <c r="E44" s="112">
        <v>5.2</v>
      </c>
      <c r="F44" s="1">
        <f t="shared" si="1"/>
        <v>4.516666667</v>
      </c>
      <c r="G44" s="1">
        <f t="shared" si="2"/>
        <v>0.6833333333</v>
      </c>
      <c r="H44" s="1">
        <f t="shared" si="3"/>
        <v>0.4669444444</v>
      </c>
    </row>
    <row r="45" ht="14.25" customHeight="1">
      <c r="D45" s="112">
        <v>0.0</v>
      </c>
      <c r="E45" s="112">
        <v>5.2</v>
      </c>
      <c r="F45" s="1">
        <f t="shared" si="1"/>
        <v>4.516666667</v>
      </c>
      <c r="G45" s="1">
        <f t="shared" si="2"/>
        <v>0.6833333333</v>
      </c>
      <c r="H45" s="1">
        <f t="shared" si="3"/>
        <v>0.4669444444</v>
      </c>
    </row>
    <row r="46" ht="14.25" customHeight="1">
      <c r="D46" s="112">
        <v>1.0</v>
      </c>
      <c r="E46" s="112">
        <v>5.8</v>
      </c>
      <c r="F46" s="1">
        <f t="shared" si="1"/>
        <v>5.458333333</v>
      </c>
      <c r="G46" s="1">
        <f t="shared" si="2"/>
        <v>0.3416666667</v>
      </c>
      <c r="H46" s="1">
        <f t="shared" si="3"/>
        <v>0.1167361111</v>
      </c>
    </row>
    <row r="47" ht="14.25" customHeight="1">
      <c r="D47" s="112">
        <v>0.0</v>
      </c>
      <c r="E47" s="112">
        <v>5.9</v>
      </c>
      <c r="F47" s="1">
        <f t="shared" si="1"/>
        <v>4.516666667</v>
      </c>
      <c r="G47" s="1">
        <f t="shared" si="2"/>
        <v>1.383333333</v>
      </c>
      <c r="H47" s="1">
        <f t="shared" si="3"/>
        <v>1.913611111</v>
      </c>
    </row>
    <row r="48" ht="14.25" customHeight="1">
      <c r="D48" s="112">
        <v>0.0</v>
      </c>
      <c r="E48" s="112">
        <v>6.0</v>
      </c>
      <c r="F48" s="1">
        <f t="shared" si="1"/>
        <v>4.516666667</v>
      </c>
      <c r="G48" s="1">
        <f t="shared" si="2"/>
        <v>1.483333333</v>
      </c>
      <c r="H48" s="1">
        <f t="shared" si="3"/>
        <v>2.200277778</v>
      </c>
    </row>
    <row r="49" ht="14.25" customHeight="1">
      <c r="D49" s="112">
        <v>1.0</v>
      </c>
      <c r="E49" s="112">
        <v>6.3</v>
      </c>
      <c r="F49" s="1">
        <f t="shared" si="1"/>
        <v>5.458333333</v>
      </c>
      <c r="G49" s="1">
        <f t="shared" si="2"/>
        <v>0.8416666667</v>
      </c>
      <c r="H49" s="1">
        <f t="shared" si="3"/>
        <v>0.7084027778</v>
      </c>
    </row>
    <row r="50" ht="14.25" customHeight="1">
      <c r="D50" s="112">
        <v>0.0</v>
      </c>
      <c r="E50" s="112">
        <v>6.6</v>
      </c>
      <c r="F50" s="1">
        <f t="shared" si="1"/>
        <v>4.516666667</v>
      </c>
      <c r="G50" s="1">
        <f t="shared" si="2"/>
        <v>2.083333333</v>
      </c>
      <c r="H50" s="1">
        <f t="shared" si="3"/>
        <v>4.340277778</v>
      </c>
    </row>
    <row r="51" ht="14.25" customHeight="1">
      <c r="D51" s="112">
        <v>1.0</v>
      </c>
      <c r="E51" s="112">
        <v>7.4</v>
      </c>
      <c r="F51" s="1">
        <f t="shared" si="1"/>
        <v>5.458333333</v>
      </c>
      <c r="G51" s="1">
        <f t="shared" si="2"/>
        <v>1.941666667</v>
      </c>
      <c r="H51" s="1">
        <f t="shared" si="3"/>
        <v>3.770069444</v>
      </c>
    </row>
    <row r="52" ht="14.25" customHeight="1">
      <c r="D52" s="112">
        <v>0.0</v>
      </c>
      <c r="E52" s="112">
        <v>8.0</v>
      </c>
      <c r="F52" s="1">
        <f t="shared" si="1"/>
        <v>4.516666667</v>
      </c>
      <c r="G52" s="1">
        <f t="shared" si="2"/>
        <v>3.483333333</v>
      </c>
      <c r="H52" s="1">
        <f t="shared" si="3"/>
        <v>12.13361111</v>
      </c>
    </row>
    <row r="53" ht="14.25" customHeight="1">
      <c r="D53" s="112">
        <v>1.0</v>
      </c>
      <c r="E53" s="112">
        <v>8.3</v>
      </c>
      <c r="F53" s="1">
        <f t="shared" si="1"/>
        <v>5.458333333</v>
      </c>
      <c r="G53" s="1">
        <f t="shared" si="2"/>
        <v>2.841666667</v>
      </c>
      <c r="H53" s="1">
        <f t="shared" si="3"/>
        <v>8.075069444</v>
      </c>
    </row>
    <row r="54" ht="14.25" customHeight="1">
      <c r="D54" s="112">
        <v>1.0</v>
      </c>
      <c r="E54" s="112">
        <v>9.0</v>
      </c>
      <c r="F54" s="1">
        <f t="shared" si="1"/>
        <v>5.458333333</v>
      </c>
      <c r="G54" s="1">
        <f t="shared" si="2"/>
        <v>3.541666667</v>
      </c>
      <c r="H54" s="1">
        <f t="shared" si="3"/>
        <v>12.54340278</v>
      </c>
    </row>
    <row r="55" ht="14.25" customHeight="1">
      <c r="D55" s="112">
        <v>1.0</v>
      </c>
      <c r="E55" s="112">
        <v>9.1</v>
      </c>
      <c r="F55" s="1">
        <f t="shared" si="1"/>
        <v>5.458333333</v>
      </c>
      <c r="G55" s="1">
        <f t="shared" si="2"/>
        <v>3.641666667</v>
      </c>
      <c r="H55" s="1">
        <f t="shared" si="3"/>
        <v>13.26173611</v>
      </c>
    </row>
    <row r="56" ht="14.25" customHeight="1">
      <c r="H56" s="1">
        <f>SUM(H32:H55)</f>
        <v>111.1058333</v>
      </c>
    </row>
    <row r="57" ht="14.25" customHeight="1">
      <c r="H57" s="1" t="s">
        <v>645</v>
      </c>
    </row>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rintOptions/>
  <pageMargins bottom="0.75" footer="0.0" header="0.0" left="0.7" right="0.7" top="0.75"/>
  <pageSetup paperSize="9" orientation="portrait"/>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5" width="10.71"/>
    <col customWidth="1" min="6" max="6" width="12.0"/>
    <col customWidth="1" min="7" max="26" width="10.71"/>
  </cols>
  <sheetData>
    <row r="1" ht="14.25" customHeight="1">
      <c r="A1" s="22" t="s">
        <v>620</v>
      </c>
      <c r="B1" s="22" t="s">
        <v>621</v>
      </c>
      <c r="C1" s="22" t="s">
        <v>622</v>
      </c>
      <c r="D1" s="22" t="s">
        <v>651</v>
      </c>
      <c r="E1" s="22" t="s">
        <v>652</v>
      </c>
      <c r="F1" s="22" t="s">
        <v>642</v>
      </c>
    </row>
    <row r="2" ht="14.25" customHeight="1">
      <c r="A2" s="22">
        <v>1.0</v>
      </c>
      <c r="B2" s="22">
        <v>8.0</v>
      </c>
      <c r="C2" s="22">
        <v>95.0</v>
      </c>
      <c r="D2" s="13">
        <f t="shared" ref="D2:D16" si="1">+$B$20+$B$21*C2</f>
        <v>7.075</v>
      </c>
      <c r="E2" s="33">
        <f t="shared" ref="E2:E16" si="2">+B2-D2</f>
        <v>0.925</v>
      </c>
      <c r="F2" s="1">
        <f t="shared" ref="F2:F16" si="3">+E2*E2</f>
        <v>0.855625</v>
      </c>
    </row>
    <row r="3" ht="14.25" customHeight="1">
      <c r="A3" s="22">
        <v>2.0</v>
      </c>
      <c r="B3" s="22">
        <v>7.0</v>
      </c>
      <c r="C3" s="22">
        <v>90.0</v>
      </c>
      <c r="D3" s="13">
        <f t="shared" si="1"/>
        <v>7.692857143</v>
      </c>
      <c r="E3" s="33">
        <f t="shared" si="2"/>
        <v>-0.6928571429</v>
      </c>
      <c r="F3" s="1">
        <f t="shared" si="3"/>
        <v>0.4800510204</v>
      </c>
      <c r="G3" s="1" t="s">
        <v>653</v>
      </c>
    </row>
    <row r="4" ht="14.25" customHeight="1">
      <c r="A4" s="22">
        <v>3.0</v>
      </c>
      <c r="B4" s="22">
        <v>7.0</v>
      </c>
      <c r="C4" s="22">
        <v>85.0</v>
      </c>
      <c r="D4" s="13">
        <f t="shared" si="1"/>
        <v>8.310714286</v>
      </c>
      <c r="E4" s="33">
        <f t="shared" si="2"/>
        <v>-1.310714286</v>
      </c>
      <c r="F4" s="1">
        <f t="shared" si="3"/>
        <v>1.717971939</v>
      </c>
    </row>
    <row r="5" ht="14.25" customHeight="1">
      <c r="A5" s="22">
        <v>4.0</v>
      </c>
      <c r="B5" s="22">
        <v>8.0</v>
      </c>
      <c r="C5" s="22">
        <v>80.0</v>
      </c>
      <c r="D5" s="13">
        <f t="shared" si="1"/>
        <v>8.928571429</v>
      </c>
      <c r="E5" s="33">
        <f t="shared" si="2"/>
        <v>-0.9285714286</v>
      </c>
      <c r="F5" s="1">
        <f t="shared" si="3"/>
        <v>0.862244898</v>
      </c>
    </row>
    <row r="6" ht="14.25" customHeight="1">
      <c r="A6" s="22">
        <v>5.0</v>
      </c>
      <c r="B6" s="22">
        <v>9.0</v>
      </c>
      <c r="C6" s="22">
        <v>75.0</v>
      </c>
      <c r="D6" s="13">
        <f t="shared" si="1"/>
        <v>9.546428571</v>
      </c>
      <c r="E6" s="33">
        <f t="shared" si="2"/>
        <v>-0.5464285714</v>
      </c>
      <c r="F6" s="1">
        <f t="shared" si="3"/>
        <v>0.2985841837</v>
      </c>
    </row>
    <row r="7" ht="14.25" customHeight="1">
      <c r="A7" s="22">
        <v>6.0</v>
      </c>
      <c r="B7" s="22">
        <v>10.0</v>
      </c>
      <c r="C7" s="22">
        <v>70.0</v>
      </c>
      <c r="D7" s="13">
        <f t="shared" si="1"/>
        <v>10.16428571</v>
      </c>
      <c r="E7" s="33">
        <f t="shared" si="2"/>
        <v>-0.1642857143</v>
      </c>
      <c r="F7" s="1">
        <f t="shared" si="3"/>
        <v>0.02698979592</v>
      </c>
    </row>
    <row r="8" ht="14.25" customHeight="1">
      <c r="A8" s="22">
        <v>7.0</v>
      </c>
      <c r="B8" s="22">
        <v>14.0</v>
      </c>
      <c r="C8" s="22">
        <v>65.0</v>
      </c>
      <c r="D8" s="13">
        <f t="shared" si="1"/>
        <v>10.78214286</v>
      </c>
      <c r="E8" s="33">
        <f t="shared" si="2"/>
        <v>3.217857143</v>
      </c>
      <c r="F8" s="1">
        <f t="shared" si="3"/>
        <v>10.35460459</v>
      </c>
    </row>
    <row r="9" ht="14.25" customHeight="1">
      <c r="A9" s="22">
        <v>8.0</v>
      </c>
      <c r="B9" s="22">
        <v>12.0</v>
      </c>
      <c r="C9" s="22">
        <v>60.0</v>
      </c>
      <c r="D9" s="13">
        <f t="shared" si="1"/>
        <v>11.4</v>
      </c>
      <c r="E9" s="33">
        <f t="shared" si="2"/>
        <v>0.6</v>
      </c>
      <c r="F9" s="1">
        <f t="shared" si="3"/>
        <v>0.36</v>
      </c>
    </row>
    <row r="10" ht="14.25" customHeight="1">
      <c r="A10" s="22">
        <v>9.0</v>
      </c>
      <c r="B10" s="22">
        <v>12.0</v>
      </c>
      <c r="C10" s="22">
        <v>55.0</v>
      </c>
      <c r="D10" s="13">
        <f t="shared" si="1"/>
        <v>12.01785714</v>
      </c>
      <c r="E10" s="33">
        <f t="shared" si="2"/>
        <v>-0.01785714286</v>
      </c>
      <c r="F10" s="1">
        <f t="shared" si="3"/>
        <v>0.000318877551</v>
      </c>
    </row>
    <row r="11" ht="14.25" customHeight="1">
      <c r="A11" s="22">
        <v>10.0</v>
      </c>
      <c r="B11" s="22">
        <v>13.0</v>
      </c>
      <c r="C11" s="22">
        <v>50.0</v>
      </c>
      <c r="D11" s="13">
        <f t="shared" si="1"/>
        <v>12.63571429</v>
      </c>
      <c r="E11" s="33">
        <f t="shared" si="2"/>
        <v>0.3642857143</v>
      </c>
      <c r="F11" s="1">
        <f t="shared" si="3"/>
        <v>0.1327040816</v>
      </c>
    </row>
    <row r="12" ht="14.25" customHeight="1">
      <c r="A12" s="22">
        <v>11.0</v>
      </c>
      <c r="B12" s="22">
        <v>14.0</v>
      </c>
      <c r="C12" s="22">
        <v>45.0</v>
      </c>
      <c r="D12" s="13">
        <f t="shared" si="1"/>
        <v>13.25357143</v>
      </c>
      <c r="E12" s="33">
        <f t="shared" si="2"/>
        <v>0.7464285714</v>
      </c>
      <c r="F12" s="1">
        <f t="shared" si="3"/>
        <v>0.5571556122</v>
      </c>
    </row>
    <row r="13" ht="14.25" customHeight="1">
      <c r="A13" s="22">
        <v>12.0</v>
      </c>
      <c r="B13" s="22">
        <v>14.0</v>
      </c>
      <c r="C13" s="22">
        <v>40.0</v>
      </c>
      <c r="D13" s="13">
        <f t="shared" si="1"/>
        <v>13.87142857</v>
      </c>
      <c r="E13" s="33">
        <f t="shared" si="2"/>
        <v>0.1285714286</v>
      </c>
      <c r="F13" s="1">
        <f t="shared" si="3"/>
        <v>0.01653061224</v>
      </c>
    </row>
    <row r="14" ht="14.25" customHeight="1">
      <c r="A14" s="22">
        <v>13.0</v>
      </c>
      <c r="B14" s="22">
        <v>11.0</v>
      </c>
      <c r="C14" s="22">
        <v>35.0</v>
      </c>
      <c r="D14" s="13">
        <f t="shared" si="1"/>
        <v>14.48928571</v>
      </c>
      <c r="E14" s="33">
        <f t="shared" si="2"/>
        <v>-3.489285714</v>
      </c>
      <c r="F14" s="1">
        <f t="shared" si="3"/>
        <v>12.1751148</v>
      </c>
    </row>
    <row r="15" ht="14.25" customHeight="1">
      <c r="A15" s="22">
        <v>14.0</v>
      </c>
      <c r="B15" s="22">
        <v>16.0</v>
      </c>
      <c r="C15" s="22">
        <v>30.0</v>
      </c>
      <c r="D15" s="13">
        <f t="shared" si="1"/>
        <v>15.10714286</v>
      </c>
      <c r="E15" s="33">
        <f t="shared" si="2"/>
        <v>0.8928571429</v>
      </c>
      <c r="F15" s="1">
        <f t="shared" si="3"/>
        <v>0.7971938776</v>
      </c>
    </row>
    <row r="16" ht="14.25" customHeight="1">
      <c r="A16" s="22">
        <v>15.0</v>
      </c>
      <c r="B16" s="22">
        <v>16.0</v>
      </c>
      <c r="C16" s="22">
        <v>25.0</v>
      </c>
      <c r="D16" s="13">
        <f t="shared" si="1"/>
        <v>15.725</v>
      </c>
      <c r="E16" s="33">
        <f t="shared" si="2"/>
        <v>0.275</v>
      </c>
      <c r="F16" s="1">
        <f t="shared" si="3"/>
        <v>0.075625</v>
      </c>
    </row>
    <row r="17" ht="14.25" customHeight="1">
      <c r="A17" s="22"/>
      <c r="B17" s="22"/>
      <c r="C17" s="22"/>
      <c r="D17" s="22"/>
      <c r="E17" s="33">
        <f t="shared" ref="E17:F17" si="4">SUM(E2:E16)</f>
        <v>0</v>
      </c>
      <c r="F17" s="114">
        <f t="shared" si="4"/>
        <v>28.71071429</v>
      </c>
    </row>
    <row r="18" ht="14.25" customHeight="1">
      <c r="F18" s="115" t="s">
        <v>645</v>
      </c>
    </row>
    <row r="19" ht="14.25" customHeight="1">
      <c r="A19" s="1" t="s">
        <v>654</v>
      </c>
    </row>
    <row r="20" ht="14.25" customHeight="1">
      <c r="A20" s="1" t="s">
        <v>623</v>
      </c>
      <c r="B20" s="1">
        <f>+INTERCEPT(B2:B16,C2:C16)</f>
        <v>18.81428571</v>
      </c>
      <c r="C20" s="1" t="s">
        <v>655</v>
      </c>
      <c r="F20" s="1" t="s">
        <v>656</v>
      </c>
    </row>
    <row r="21" ht="14.25" customHeight="1">
      <c r="A21" s="1" t="s">
        <v>624</v>
      </c>
      <c r="B21" s="1">
        <f>+SLOPE(B2:B16,C2:C16)</f>
        <v>-0.1235714286</v>
      </c>
      <c r="C21" s="1" t="s">
        <v>657</v>
      </c>
      <c r="F21" s="1" t="s">
        <v>658</v>
      </c>
    </row>
    <row r="22" ht="14.25" customHeight="1">
      <c r="F22" s="1">
        <f>+RSQ(B2:B16,C2:C16)</f>
        <v>0.7882690687</v>
      </c>
    </row>
    <row r="23" ht="14.25" customHeight="1">
      <c r="A23" s="1" t="s">
        <v>625</v>
      </c>
      <c r="F23" s="1" t="s">
        <v>659</v>
      </c>
    </row>
    <row r="24" ht="14.25" customHeight="1"/>
    <row r="25" ht="14.25" customHeight="1">
      <c r="A25" s="1" t="s">
        <v>626</v>
      </c>
      <c r="B25" s="37" t="s">
        <v>627</v>
      </c>
      <c r="C25" s="1">
        <f>+_xlfn.COVARIANCE.S(B2:B16,C2:C16)</f>
        <v>-61.78571429</v>
      </c>
      <c r="D25" s="1">
        <f>+C25/C26</f>
        <v>-0.1235714286</v>
      </c>
    </row>
    <row r="26" ht="14.25" customHeight="1">
      <c r="B26" s="1" t="s">
        <v>628</v>
      </c>
      <c r="C26" s="1">
        <f>+_xlfn.VAR.S(C2:C16)</f>
        <v>500</v>
      </c>
      <c r="F26" s="1" t="s">
        <v>660</v>
      </c>
    </row>
    <row r="27" ht="14.25" customHeight="1">
      <c r="F27" s="1" t="s">
        <v>661</v>
      </c>
    </row>
    <row r="28" ht="14.25" customHeight="1">
      <c r="F28" s="1" t="s">
        <v>662</v>
      </c>
    </row>
    <row r="29" ht="14.25" customHeight="1">
      <c r="A29" s="1" t="s">
        <v>629</v>
      </c>
      <c r="B29" s="1" t="s">
        <v>630</v>
      </c>
      <c r="F29" s="1" t="s">
        <v>92</v>
      </c>
      <c r="G29" s="1">
        <v>0.5</v>
      </c>
    </row>
    <row r="30" ht="14.25" customHeight="1">
      <c r="B30" s="1">
        <f>+AVERAGE(B2:B16)-D25*AVERAGE(C2:C16)</f>
        <v>18.81428571</v>
      </c>
      <c r="F30" s="1" t="s">
        <v>663</v>
      </c>
    </row>
    <row r="31" ht="14.25" customHeight="1">
      <c r="A31" s="1" t="s">
        <v>664</v>
      </c>
      <c r="F31" s="1">
        <f>_xlfn.T.INV(0.975,13)</f>
        <v>2.160368656</v>
      </c>
    </row>
    <row r="32" ht="14.25" customHeight="1">
      <c r="A32" s="1" t="s">
        <v>665</v>
      </c>
    </row>
    <row r="33" ht="14.25" customHeight="1">
      <c r="D33" s="1">
        <f>+SQRT(F17/A14)</f>
        <v>1.48610783</v>
      </c>
    </row>
    <row r="34" ht="14.25" customHeight="1">
      <c r="F34" s="1" t="s">
        <v>666</v>
      </c>
    </row>
    <row r="35" ht="14.25" customHeight="1">
      <c r="F35" s="1">
        <f>+D33/(_xlfn.STDEV.S(C2:C16)*SQRT(A16-1))</f>
        <v>0.01776238595</v>
      </c>
    </row>
    <row r="36" ht="14.25" customHeight="1"/>
    <row r="37" ht="14.25" customHeight="1">
      <c r="F37" s="1" t="s">
        <v>667</v>
      </c>
    </row>
    <row r="38" ht="14.25" customHeight="1">
      <c r="G38" s="1">
        <f>+B21/F35</f>
        <v>-6.956916086</v>
      </c>
    </row>
    <row r="39" ht="14.25" customHeight="1"/>
    <row r="40" ht="14.25" customHeight="1"/>
    <row r="41" ht="14.25" customHeight="1"/>
    <row r="42" ht="14.25" customHeight="1">
      <c r="F42" s="116" t="s">
        <v>668</v>
      </c>
      <c r="G42" s="116"/>
    </row>
    <row r="43" ht="14.25" customHeight="1">
      <c r="E43" s="94" t="s">
        <v>669</v>
      </c>
      <c r="F43" s="116"/>
      <c r="G43" s="116"/>
      <c r="H43" s="94" t="s">
        <v>669</v>
      </c>
    </row>
    <row r="44" ht="14.25" customHeight="1">
      <c r="E44" s="1">
        <v>-2.16</v>
      </c>
      <c r="G44" s="1">
        <v>2.16</v>
      </c>
    </row>
    <row r="45" ht="14.25" customHeight="1"/>
    <row r="46" ht="14.25" customHeight="1"/>
    <row r="47" ht="14.25" customHeight="1"/>
    <row r="48" ht="14.25" customHeight="1">
      <c r="F48" s="1" t="s">
        <v>670</v>
      </c>
    </row>
    <row r="49" ht="14.25" customHeight="1">
      <c r="F49" s="117">
        <f>2*_xlfn.T.DIST(G38,13,TRUE)</f>
        <v>0.000009962974624</v>
      </c>
    </row>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3" width="10.71"/>
    <col customWidth="1" min="4" max="4" width="13.57"/>
    <col customWidth="1" min="5" max="26" width="10.71"/>
  </cols>
  <sheetData>
    <row r="1" ht="14.25" customHeight="1">
      <c r="G1" s="16" t="s">
        <v>23</v>
      </c>
    </row>
    <row r="2" ht="14.25" customHeight="1">
      <c r="A2" s="1" t="s">
        <v>24</v>
      </c>
      <c r="G2" s="1" t="s">
        <v>25</v>
      </c>
    </row>
    <row r="3" ht="14.25" customHeight="1">
      <c r="A3" s="1" t="s">
        <v>26</v>
      </c>
    </row>
    <row r="4" ht="14.25" customHeight="1"/>
    <row r="5" ht="14.25" customHeight="1">
      <c r="A5" s="1" t="s">
        <v>27</v>
      </c>
    </row>
    <row r="6" ht="14.25" customHeight="1"/>
    <row r="7" ht="14.25" customHeight="1">
      <c r="A7" s="1" t="s">
        <v>28</v>
      </c>
    </row>
    <row r="8" ht="14.25" customHeight="1"/>
    <row r="9" ht="14.25" customHeight="1">
      <c r="A9" s="1" t="s">
        <v>29</v>
      </c>
    </row>
    <row r="10" ht="14.25" customHeight="1">
      <c r="B10" s="17"/>
      <c r="C10" s="18" t="s">
        <v>30</v>
      </c>
      <c r="D10" s="19"/>
      <c r="E10" s="20"/>
      <c r="F10" s="18" t="s">
        <v>31</v>
      </c>
      <c r="G10" s="20"/>
    </row>
    <row r="11" ht="14.25" customHeight="1">
      <c r="B11" s="11" t="s">
        <v>32</v>
      </c>
      <c r="C11" s="11" t="s">
        <v>33</v>
      </c>
      <c r="D11" s="11" t="s">
        <v>34</v>
      </c>
      <c r="E11" s="11" t="s">
        <v>35</v>
      </c>
      <c r="F11" s="11" t="s">
        <v>36</v>
      </c>
      <c r="G11" s="11" t="s">
        <v>37</v>
      </c>
    </row>
    <row r="12" ht="14.25" customHeight="1">
      <c r="B12" s="21">
        <v>74.0</v>
      </c>
      <c r="C12" s="22">
        <f>+B12-B20</f>
        <v>25</v>
      </c>
      <c r="D12" s="22">
        <v>0.5888</v>
      </c>
      <c r="E12" s="22">
        <f t="shared" ref="E12:E16" si="1">+C12*D12</f>
        <v>14.72</v>
      </c>
      <c r="F12" s="23">
        <f t="shared" ref="F12:F20" si="2">+B12-$B$23</f>
        <v>14.88888889</v>
      </c>
      <c r="G12" s="23">
        <f t="shared" ref="G12:G20" si="3">+F12*F12</f>
        <v>221.6790123</v>
      </c>
    </row>
    <row r="13" ht="14.25" customHeight="1">
      <c r="B13" s="24">
        <v>68.0</v>
      </c>
      <c r="C13" s="22">
        <f>+B13-B19</f>
        <v>16</v>
      </c>
      <c r="D13" s="22">
        <v>0.3244</v>
      </c>
      <c r="E13" s="22">
        <f t="shared" si="1"/>
        <v>5.1904</v>
      </c>
      <c r="F13" s="23">
        <f t="shared" si="2"/>
        <v>8.888888889</v>
      </c>
      <c r="G13" s="23">
        <f t="shared" si="3"/>
        <v>79.01234568</v>
      </c>
    </row>
    <row r="14" ht="14.25" customHeight="1">
      <c r="B14" s="25">
        <v>65.0</v>
      </c>
      <c r="C14" s="22">
        <f>+B14-B18</f>
        <v>12</v>
      </c>
      <c r="D14" s="22">
        <v>0.1976</v>
      </c>
      <c r="E14" s="22">
        <f t="shared" si="1"/>
        <v>2.3712</v>
      </c>
      <c r="F14" s="23">
        <f t="shared" si="2"/>
        <v>5.888888889</v>
      </c>
      <c r="G14" s="23">
        <f t="shared" si="3"/>
        <v>34.67901235</v>
      </c>
    </row>
    <row r="15" ht="14.25" customHeight="1">
      <c r="B15" s="26">
        <v>63.0</v>
      </c>
      <c r="C15" s="22">
        <f>+B15-B17</f>
        <v>9</v>
      </c>
      <c r="D15" s="22">
        <v>0.0947</v>
      </c>
      <c r="E15" s="22">
        <f t="shared" si="1"/>
        <v>0.8523</v>
      </c>
      <c r="F15" s="23">
        <f t="shared" si="2"/>
        <v>3.888888889</v>
      </c>
      <c r="G15" s="23">
        <f t="shared" si="3"/>
        <v>15.12345679</v>
      </c>
    </row>
    <row r="16" ht="14.25" customHeight="1">
      <c r="B16" s="22">
        <v>54.0</v>
      </c>
      <c r="C16" s="22">
        <f>+B16-B16</f>
        <v>0</v>
      </c>
      <c r="D16" s="22">
        <v>0.0</v>
      </c>
      <c r="E16" s="22">
        <f t="shared" si="1"/>
        <v>0</v>
      </c>
      <c r="F16" s="23">
        <f t="shared" si="2"/>
        <v>-5.111111111</v>
      </c>
      <c r="G16" s="23">
        <f t="shared" si="3"/>
        <v>26.12345679</v>
      </c>
    </row>
    <row r="17" ht="14.25" customHeight="1">
      <c r="B17" s="26">
        <v>54.0</v>
      </c>
      <c r="C17" s="22"/>
      <c r="D17" s="22"/>
      <c r="E17" s="22"/>
      <c r="F17" s="23">
        <f t="shared" si="2"/>
        <v>-5.111111111</v>
      </c>
      <c r="G17" s="23">
        <f t="shared" si="3"/>
        <v>26.12345679</v>
      </c>
    </row>
    <row r="18" ht="14.25" customHeight="1">
      <c r="B18" s="25">
        <v>53.0</v>
      </c>
      <c r="C18" s="22"/>
      <c r="D18" s="22"/>
      <c r="E18" s="22"/>
      <c r="F18" s="23">
        <f t="shared" si="2"/>
        <v>-6.111111111</v>
      </c>
      <c r="G18" s="23">
        <f t="shared" si="3"/>
        <v>37.34567901</v>
      </c>
    </row>
    <row r="19" ht="14.25" customHeight="1">
      <c r="B19" s="24">
        <v>52.0</v>
      </c>
      <c r="C19" s="22"/>
      <c r="D19" s="22"/>
      <c r="E19" s="22"/>
      <c r="F19" s="23">
        <f t="shared" si="2"/>
        <v>-7.111111111</v>
      </c>
      <c r="G19" s="23">
        <f t="shared" si="3"/>
        <v>50.56790123</v>
      </c>
    </row>
    <row r="20" ht="14.25" customHeight="1">
      <c r="B20" s="27">
        <v>49.0</v>
      </c>
      <c r="C20" s="28"/>
      <c r="D20" s="28"/>
      <c r="E20" s="28"/>
      <c r="F20" s="29">
        <f t="shared" si="2"/>
        <v>-10.11111111</v>
      </c>
      <c r="G20" s="29">
        <f t="shared" si="3"/>
        <v>102.2345679</v>
      </c>
    </row>
    <row r="21" ht="14.25" customHeight="1">
      <c r="A21" s="22"/>
      <c r="B21" s="22"/>
      <c r="C21" s="22"/>
      <c r="D21" s="22"/>
      <c r="E21" s="22"/>
      <c r="F21" s="22"/>
    </row>
    <row r="22" ht="14.25" customHeight="1">
      <c r="A22" s="1" t="s">
        <v>38</v>
      </c>
      <c r="B22" s="22">
        <f>SUM(B12:B20)</f>
        <v>532</v>
      </c>
      <c r="C22" s="22"/>
      <c r="D22" s="22"/>
      <c r="E22" s="22">
        <f>SUM(E12:E21)</f>
        <v>23.1339</v>
      </c>
      <c r="F22" s="23"/>
      <c r="G22" s="23">
        <f>+SUM(G12:G20)</f>
        <v>592.8888889</v>
      </c>
    </row>
    <row r="23" ht="14.25" customHeight="1">
      <c r="A23" s="1" t="s">
        <v>39</v>
      </c>
      <c r="B23" s="22">
        <f>+AVERAGE(B12:B20)</f>
        <v>59.11111111</v>
      </c>
      <c r="C23" s="22"/>
      <c r="D23" s="22"/>
      <c r="E23" s="22"/>
      <c r="F23" s="22"/>
    </row>
    <row r="24" ht="14.25" customHeight="1">
      <c r="A24" s="1" t="s">
        <v>40</v>
      </c>
      <c r="B24" s="1">
        <f>+_xlfn.STDEV.S(B12:B20)</f>
        <v>8.608781047</v>
      </c>
    </row>
    <row r="25" ht="14.25" customHeight="1">
      <c r="A25" s="1" t="s">
        <v>41</v>
      </c>
      <c r="B25" s="1">
        <f>+_xlfn.VAR.S(B12:B20)</f>
        <v>74.11111111</v>
      </c>
      <c r="G25" s="22" t="s">
        <v>42</v>
      </c>
      <c r="H25" s="28" t="s">
        <v>43</v>
      </c>
      <c r="I25" s="22" t="s">
        <v>44</v>
      </c>
      <c r="J25" s="28" t="s">
        <v>43</v>
      </c>
    </row>
    <row r="26" ht="14.25" customHeight="1">
      <c r="G26" s="22"/>
      <c r="H26" s="22" t="s">
        <v>45</v>
      </c>
      <c r="I26" s="22"/>
      <c r="J26" s="22" t="s">
        <v>46</v>
      </c>
    </row>
    <row r="27" ht="14.25" customHeight="1">
      <c r="G27" s="22"/>
      <c r="H27" s="22"/>
      <c r="I27" s="22"/>
      <c r="J27" s="22"/>
    </row>
    <row r="28" ht="14.25" customHeight="1">
      <c r="A28" s="1" t="s">
        <v>47</v>
      </c>
      <c r="B28" s="1">
        <f>+E22</f>
        <v>23.1339</v>
      </c>
      <c r="G28" s="22" t="s">
        <v>42</v>
      </c>
      <c r="H28" s="28" t="s">
        <v>48</v>
      </c>
      <c r="I28" s="22"/>
      <c r="J28" s="28" t="s">
        <v>48</v>
      </c>
    </row>
    <row r="29" ht="14.25" customHeight="1">
      <c r="A29" s="1" t="s">
        <v>45</v>
      </c>
      <c r="B29" s="1">
        <f>+H29</f>
        <v>592.89</v>
      </c>
      <c r="G29" s="22"/>
      <c r="H29" s="22">
        <v>592.89</v>
      </c>
      <c r="I29" s="22"/>
      <c r="J29" s="22" t="s">
        <v>49</v>
      </c>
    </row>
    <row r="30" ht="14.25" customHeight="1">
      <c r="A30" s="1" t="s">
        <v>50</v>
      </c>
      <c r="B30" s="1">
        <f>+H31</f>
        <v>0.9026604128</v>
      </c>
      <c r="G30" s="22"/>
      <c r="H30" s="22"/>
      <c r="I30" s="22"/>
      <c r="J30" s="22"/>
    </row>
    <row r="31" ht="14.25" customHeight="1">
      <c r="G31" s="22" t="s">
        <v>42</v>
      </c>
      <c r="H31" s="1">
        <f>+(E22*E22)/G22</f>
        <v>0.9026604128</v>
      </c>
      <c r="J31" s="1">
        <f>+(E22*E22)/(B25*8)</f>
        <v>0.9026604128</v>
      </c>
    </row>
    <row r="32" ht="14.25" customHeight="1"/>
    <row r="33" ht="14.25" customHeight="1">
      <c r="A33" s="1" t="s">
        <v>51</v>
      </c>
      <c r="B33" s="1">
        <v>0.829</v>
      </c>
    </row>
    <row r="34" ht="14.25" customHeight="1">
      <c r="A34" s="1" t="s">
        <v>52</v>
      </c>
    </row>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c r="A50" s="30" t="s">
        <v>53</v>
      </c>
    </row>
    <row r="51" ht="14.25" customHeight="1"/>
    <row r="52" ht="14.25" customHeight="1"/>
    <row r="53" ht="14.25" customHeight="1"/>
    <row r="54" ht="14.25" customHeight="1"/>
    <row r="55" ht="14.25" customHeight="1"/>
    <row r="56" ht="14.25" customHeight="1"/>
    <row r="57" ht="14.25" customHeight="1"/>
    <row r="58" ht="14.25" customHeight="1">
      <c r="B58" s="16" t="s">
        <v>54</v>
      </c>
    </row>
    <row r="59" ht="14.25" customHeight="1">
      <c r="E59" s="1" t="s">
        <v>55</v>
      </c>
    </row>
    <row r="60" ht="14.25" customHeight="1"/>
    <row r="61" ht="14.25" customHeight="1">
      <c r="A61" s="1" t="s">
        <v>56</v>
      </c>
    </row>
    <row r="62" ht="14.25" customHeight="1">
      <c r="A62" s="1" t="s">
        <v>57</v>
      </c>
    </row>
    <row r="63" ht="14.25" customHeight="1"/>
    <row r="64" ht="14.25" customHeight="1">
      <c r="A64" s="1" t="s">
        <v>27</v>
      </c>
      <c r="D64" s="1" t="s">
        <v>58</v>
      </c>
      <c r="E64" s="1" t="s">
        <v>59</v>
      </c>
    </row>
    <row r="65" ht="14.25" customHeight="1">
      <c r="A65" s="1" t="s">
        <v>60</v>
      </c>
      <c r="B65" s="1">
        <v>59.0</v>
      </c>
      <c r="D65" s="15" t="s">
        <v>61</v>
      </c>
    </row>
    <row r="66" ht="14.25" customHeight="1">
      <c r="D66" s="7"/>
    </row>
    <row r="67" ht="14.25" customHeight="1">
      <c r="A67" s="11" t="s">
        <v>62</v>
      </c>
      <c r="B67" s="11" t="s">
        <v>32</v>
      </c>
      <c r="C67" s="11" t="s">
        <v>63</v>
      </c>
      <c r="D67" s="11" t="s">
        <v>64</v>
      </c>
      <c r="E67" s="11" t="s">
        <v>65</v>
      </c>
      <c r="F67" s="11" t="s">
        <v>66</v>
      </c>
      <c r="G67" s="11" t="s">
        <v>67</v>
      </c>
    </row>
    <row r="68" ht="14.25" customHeight="1">
      <c r="A68" s="22">
        <v>1.0</v>
      </c>
      <c r="B68" s="22">
        <v>49.0</v>
      </c>
      <c r="C68" s="13">
        <f t="shared" ref="C68:C76" si="4">+A68/$A$76</f>
        <v>0.1111111111</v>
      </c>
      <c r="D68" s="13">
        <f t="shared" ref="D68:D76" si="5">+(B68-$B$65)/9</f>
        <v>-1.111111111</v>
      </c>
      <c r="E68" s="13" t="str">
        <f t="shared" ref="E68:E75" si="6">+_xlfn.NORM.S.DIST(D68,TRUE)</f>
        <v>#N/A</v>
      </c>
      <c r="F68" s="13" t="str">
        <f t="shared" ref="F68:F76" si="7">+ABS(+C68-E68)</f>
        <v>#N/A</v>
      </c>
      <c r="G68" s="13" t="str">
        <f>+E68</f>
        <v>#N/A</v>
      </c>
    </row>
    <row r="69" ht="14.25" customHeight="1">
      <c r="A69" s="22">
        <v>2.0</v>
      </c>
      <c r="B69" s="22">
        <v>52.0</v>
      </c>
      <c r="C69" s="13">
        <f t="shared" si="4"/>
        <v>0.2222222222</v>
      </c>
      <c r="D69" s="13">
        <f t="shared" si="5"/>
        <v>-0.7777777778</v>
      </c>
      <c r="E69" s="13" t="str">
        <f t="shared" si="6"/>
        <v>#N/A</v>
      </c>
      <c r="F69" s="13" t="str">
        <f t="shared" si="7"/>
        <v>#N/A</v>
      </c>
      <c r="G69" s="13" t="str">
        <f t="shared" ref="G69:G76" si="8">+ABS(C68-E69)</f>
        <v>#N/A</v>
      </c>
    </row>
    <row r="70" ht="14.25" customHeight="1">
      <c r="A70" s="22">
        <f t="shared" ref="A70:A76" si="9">+A69+1</f>
        <v>3</v>
      </c>
      <c r="B70" s="22">
        <v>53.0</v>
      </c>
      <c r="C70" s="13">
        <f t="shared" si="4"/>
        <v>0.3333333333</v>
      </c>
      <c r="D70" s="13">
        <f t="shared" si="5"/>
        <v>-0.6666666667</v>
      </c>
      <c r="E70" s="13" t="str">
        <f t="shared" si="6"/>
        <v>#N/A</v>
      </c>
      <c r="F70" s="13" t="str">
        <f t="shared" si="7"/>
        <v>#N/A</v>
      </c>
      <c r="G70" s="13" t="str">
        <f t="shared" si="8"/>
        <v>#N/A</v>
      </c>
    </row>
    <row r="71" ht="14.25" customHeight="1">
      <c r="A71" s="22">
        <f t="shared" si="9"/>
        <v>4</v>
      </c>
      <c r="B71" s="22">
        <v>54.0</v>
      </c>
      <c r="C71" s="13">
        <f t="shared" si="4"/>
        <v>0.4444444444</v>
      </c>
      <c r="D71" s="13">
        <f t="shared" si="5"/>
        <v>-0.5555555556</v>
      </c>
      <c r="E71" s="13" t="str">
        <f t="shared" si="6"/>
        <v>#N/A</v>
      </c>
      <c r="F71" s="13" t="str">
        <f t="shared" si="7"/>
        <v>#N/A</v>
      </c>
      <c r="G71" s="13" t="str">
        <f t="shared" si="8"/>
        <v>#N/A</v>
      </c>
    </row>
    <row r="72" ht="14.25" customHeight="1">
      <c r="A72" s="22">
        <f t="shared" si="9"/>
        <v>5</v>
      </c>
      <c r="B72" s="22">
        <v>54.0</v>
      </c>
      <c r="C72" s="13">
        <f t="shared" si="4"/>
        <v>0.5555555556</v>
      </c>
      <c r="D72" s="13">
        <f t="shared" si="5"/>
        <v>-0.5555555556</v>
      </c>
      <c r="E72" s="13" t="str">
        <f t="shared" si="6"/>
        <v>#N/A</v>
      </c>
      <c r="F72" s="13" t="str">
        <f t="shared" si="7"/>
        <v>#N/A</v>
      </c>
      <c r="G72" s="13" t="str">
        <f t="shared" si="8"/>
        <v>#N/A</v>
      </c>
    </row>
    <row r="73" ht="14.25" customHeight="1">
      <c r="A73" s="22">
        <f t="shared" si="9"/>
        <v>6</v>
      </c>
      <c r="B73" s="22">
        <v>63.0</v>
      </c>
      <c r="C73" s="13">
        <f t="shared" si="4"/>
        <v>0.6666666667</v>
      </c>
      <c r="D73" s="13">
        <f t="shared" si="5"/>
        <v>0.4444444444</v>
      </c>
      <c r="E73" s="13" t="str">
        <f t="shared" si="6"/>
        <v>#N/A</v>
      </c>
      <c r="F73" s="13" t="str">
        <f t="shared" si="7"/>
        <v>#N/A</v>
      </c>
      <c r="G73" s="13" t="str">
        <f t="shared" si="8"/>
        <v>#N/A</v>
      </c>
    </row>
    <row r="74" ht="14.25" customHeight="1">
      <c r="A74" s="22">
        <f t="shared" si="9"/>
        <v>7</v>
      </c>
      <c r="B74" s="22">
        <v>65.0</v>
      </c>
      <c r="C74" s="13">
        <f t="shared" si="4"/>
        <v>0.7777777778</v>
      </c>
      <c r="D74" s="13">
        <f t="shared" si="5"/>
        <v>0.6666666667</v>
      </c>
      <c r="E74" s="13" t="str">
        <f t="shared" si="6"/>
        <v>#N/A</v>
      </c>
      <c r="F74" s="13" t="str">
        <f t="shared" si="7"/>
        <v>#N/A</v>
      </c>
      <c r="G74" s="13" t="str">
        <f t="shared" si="8"/>
        <v>#N/A</v>
      </c>
    </row>
    <row r="75" ht="14.25" customHeight="1">
      <c r="A75" s="22">
        <f t="shared" si="9"/>
        <v>8</v>
      </c>
      <c r="B75" s="22">
        <v>68.0</v>
      </c>
      <c r="C75" s="13">
        <f t="shared" si="4"/>
        <v>0.8888888889</v>
      </c>
      <c r="D75" s="13">
        <f t="shared" si="5"/>
        <v>1</v>
      </c>
      <c r="E75" s="13" t="str">
        <f t="shared" si="6"/>
        <v>#N/A</v>
      </c>
      <c r="F75" s="13" t="str">
        <f t="shared" si="7"/>
        <v>#N/A</v>
      </c>
      <c r="G75" s="13" t="str">
        <f t="shared" si="8"/>
        <v>#N/A</v>
      </c>
    </row>
    <row r="76" ht="14.25" customHeight="1">
      <c r="A76" s="28">
        <f t="shared" si="9"/>
        <v>9</v>
      </c>
      <c r="B76" s="28">
        <v>74.0</v>
      </c>
      <c r="C76" s="31">
        <f t="shared" si="4"/>
        <v>1</v>
      </c>
      <c r="D76" s="31">
        <f t="shared" si="5"/>
        <v>1.666666667</v>
      </c>
      <c r="E76" s="13">
        <v>1.0</v>
      </c>
      <c r="F76" s="13">
        <f t="shared" si="7"/>
        <v>0</v>
      </c>
      <c r="G76" s="13">
        <f t="shared" si="8"/>
        <v>0.1111111111</v>
      </c>
    </row>
    <row r="77" ht="14.25" customHeight="1">
      <c r="E77" s="15" t="s">
        <v>68</v>
      </c>
    </row>
    <row r="78" ht="14.25" customHeight="1">
      <c r="A78" s="1" t="s">
        <v>38</v>
      </c>
      <c r="B78" s="1">
        <f>SUM(B68:B77)</f>
        <v>532</v>
      </c>
    </row>
    <row r="79" ht="14.25" customHeight="1"/>
    <row r="80" ht="14.25" customHeight="1">
      <c r="A80" s="1" t="s">
        <v>60</v>
      </c>
      <c r="B80" s="32">
        <f>+AVERAGE(B68:B76)</f>
        <v>59.11111111</v>
      </c>
    </row>
    <row r="81" ht="14.25" customHeight="1">
      <c r="A81" s="1" t="s">
        <v>40</v>
      </c>
      <c r="B81" s="32">
        <f>+_xlfn.STDEV.S(B68:B76)</f>
        <v>8.608781047</v>
      </c>
    </row>
    <row r="82" ht="14.25" customHeight="1"/>
    <row r="83" ht="14.25" customHeight="1"/>
    <row r="84" ht="14.25" customHeight="1">
      <c r="A84" s="1" t="s">
        <v>69</v>
      </c>
      <c r="B84" s="33" t="str">
        <f>+MAX(F68:F76,G68:G76)</f>
        <v>#N/A</v>
      </c>
    </row>
    <row r="85" ht="14.25" customHeight="1">
      <c r="A85" s="1" t="s">
        <v>70</v>
      </c>
    </row>
    <row r="86" ht="14.25" customHeight="1"/>
    <row r="87" ht="14.25" customHeight="1"/>
    <row r="88" ht="14.25" customHeight="1">
      <c r="A88" s="1" t="s">
        <v>71</v>
      </c>
      <c r="B88" s="1">
        <v>0.432</v>
      </c>
    </row>
    <row r="89" ht="18.0" customHeight="1">
      <c r="A89" s="1" t="s">
        <v>72</v>
      </c>
    </row>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c r="A103" s="15" t="s">
        <v>73</v>
      </c>
    </row>
    <row r="104" ht="14.25" customHeight="1"/>
    <row r="105" ht="14.25" customHeight="1"/>
    <row r="106" ht="14.25" customHeight="1"/>
    <row r="107" ht="14.25" customHeight="1"/>
    <row r="108" ht="14.25" customHeight="1"/>
    <row r="109" ht="14.25" customHeight="1"/>
    <row r="110" ht="14.25" customHeight="1"/>
    <row r="111" ht="14.25" customHeight="1"/>
    <row r="112" ht="14.25" customHeight="1">
      <c r="B112" s="16" t="s">
        <v>74</v>
      </c>
    </row>
    <row r="113" ht="14.25" customHeight="1"/>
    <row r="114" ht="14.25" customHeight="1"/>
    <row r="115" ht="14.25" customHeight="1">
      <c r="A115" s="1" t="s">
        <v>75</v>
      </c>
    </row>
    <row r="116" ht="14.25" customHeight="1">
      <c r="A116" s="1" t="s">
        <v>76</v>
      </c>
    </row>
    <row r="117" ht="14.25" customHeight="1"/>
    <row r="118" ht="14.25" customHeight="1">
      <c r="A118" s="1" t="s">
        <v>27</v>
      </c>
      <c r="D118" s="1" t="s">
        <v>58</v>
      </c>
      <c r="E118" s="1" t="s">
        <v>59</v>
      </c>
    </row>
    <row r="119" ht="14.25" customHeight="1">
      <c r="A119" s="1" t="s">
        <v>60</v>
      </c>
      <c r="B119" s="1">
        <v>59.0</v>
      </c>
      <c r="D119" s="15" t="s">
        <v>77</v>
      </c>
    </row>
    <row r="120" ht="14.25" customHeight="1">
      <c r="D120" s="7"/>
    </row>
    <row r="121" ht="14.25" customHeight="1">
      <c r="A121" s="11" t="s">
        <v>62</v>
      </c>
      <c r="B121" s="11" t="s">
        <v>32</v>
      </c>
      <c r="C121" s="11" t="s">
        <v>63</v>
      </c>
      <c r="D121" s="11" t="s">
        <v>65</v>
      </c>
      <c r="E121" s="11" t="s">
        <v>66</v>
      </c>
      <c r="F121" s="11" t="s">
        <v>67</v>
      </c>
    </row>
    <row r="122" ht="14.25" customHeight="1">
      <c r="A122" s="22">
        <v>1.0</v>
      </c>
      <c r="B122" s="22">
        <v>49.0</v>
      </c>
      <c r="C122" s="13">
        <f t="shared" ref="C122:C130" si="10">+A122/$A$76</f>
        <v>0.1111111111</v>
      </c>
      <c r="D122" s="13">
        <f t="shared" ref="D122:D129" si="11">1-EXP(-B122/59)</f>
        <v>0.5641723773</v>
      </c>
      <c r="E122" s="13">
        <f t="shared" ref="E122:E130" si="12">+ABS(C122-D122)</f>
        <v>0.4530612662</v>
      </c>
      <c r="F122" s="13">
        <f>+D122</f>
        <v>0.5641723773</v>
      </c>
    </row>
    <row r="123" ht="14.25" customHeight="1">
      <c r="A123" s="22">
        <v>2.0</v>
      </c>
      <c r="B123" s="22">
        <v>52.0</v>
      </c>
      <c r="C123" s="13">
        <f t="shared" si="10"/>
        <v>0.2222222222</v>
      </c>
      <c r="D123" s="13">
        <f t="shared" si="11"/>
        <v>0.5857791247</v>
      </c>
      <c r="E123" s="13">
        <f t="shared" si="12"/>
        <v>0.3635569025</v>
      </c>
      <c r="F123" s="13">
        <f t="shared" ref="F123:F130" si="13">+ABS(C122-D123)</f>
        <v>0.4746680136</v>
      </c>
    </row>
    <row r="124" ht="14.25" customHeight="1">
      <c r="A124" s="22">
        <f t="shared" ref="A124:A130" si="14">+A123+1</f>
        <v>3</v>
      </c>
      <c r="B124" s="22">
        <v>53.0</v>
      </c>
      <c r="C124" s="13">
        <f t="shared" si="10"/>
        <v>0.3333333333</v>
      </c>
      <c r="D124" s="13">
        <f t="shared" si="11"/>
        <v>0.5927406548</v>
      </c>
      <c r="E124" s="13">
        <f t="shared" si="12"/>
        <v>0.2594073215</v>
      </c>
      <c r="F124" s="13">
        <f t="shared" si="13"/>
        <v>0.3705184326</v>
      </c>
    </row>
    <row r="125" ht="14.25" customHeight="1">
      <c r="A125" s="22">
        <f t="shared" si="14"/>
        <v>4</v>
      </c>
      <c r="B125" s="22">
        <v>54.0</v>
      </c>
      <c r="C125" s="13">
        <f t="shared" si="10"/>
        <v>0.4444444444</v>
      </c>
      <c r="D125" s="13">
        <f t="shared" si="11"/>
        <v>0.5995851872</v>
      </c>
      <c r="E125" s="13">
        <f t="shared" si="12"/>
        <v>0.1551407428</v>
      </c>
      <c r="F125" s="13">
        <f t="shared" si="13"/>
        <v>0.2662518539</v>
      </c>
    </row>
    <row r="126" ht="14.25" customHeight="1">
      <c r="A126" s="22">
        <f t="shared" si="14"/>
        <v>5</v>
      </c>
      <c r="B126" s="22">
        <v>54.0</v>
      </c>
      <c r="C126" s="13">
        <f t="shared" si="10"/>
        <v>0.5555555556</v>
      </c>
      <c r="D126" s="13">
        <f t="shared" si="11"/>
        <v>0.5995851872</v>
      </c>
      <c r="E126" s="13">
        <f t="shared" si="12"/>
        <v>0.04402963167</v>
      </c>
      <c r="F126" s="13">
        <f t="shared" si="13"/>
        <v>0.1551407428</v>
      </c>
    </row>
    <row r="127" ht="14.25" customHeight="1">
      <c r="A127" s="22">
        <f t="shared" si="14"/>
        <v>6</v>
      </c>
      <c r="B127" s="22">
        <v>63.0</v>
      </c>
      <c r="C127" s="13">
        <f t="shared" si="10"/>
        <v>0.6666666667</v>
      </c>
      <c r="D127" s="13">
        <f t="shared" si="11"/>
        <v>0.6562348678</v>
      </c>
      <c r="E127" s="13">
        <f t="shared" si="12"/>
        <v>0.01043179882</v>
      </c>
      <c r="F127" s="13">
        <f t="shared" si="13"/>
        <v>0.1006793123</v>
      </c>
    </row>
    <row r="128" ht="14.25" customHeight="1">
      <c r="A128" s="22">
        <f t="shared" si="14"/>
        <v>7</v>
      </c>
      <c r="B128" s="22">
        <v>65.0</v>
      </c>
      <c r="C128" s="13">
        <f t="shared" si="10"/>
        <v>0.7777777778</v>
      </c>
      <c r="D128" s="13">
        <f t="shared" si="11"/>
        <v>0.6676926267</v>
      </c>
      <c r="E128" s="13">
        <f t="shared" si="12"/>
        <v>0.1100851511</v>
      </c>
      <c r="F128" s="13">
        <f t="shared" si="13"/>
        <v>0.001025960057</v>
      </c>
    </row>
    <row r="129" ht="14.25" customHeight="1">
      <c r="A129" s="22">
        <f t="shared" si="14"/>
        <v>8</v>
      </c>
      <c r="B129" s="22">
        <v>68.0</v>
      </c>
      <c r="C129" s="13">
        <f t="shared" si="10"/>
        <v>0.8888888889</v>
      </c>
      <c r="D129" s="13">
        <f t="shared" si="11"/>
        <v>0.6841672169</v>
      </c>
      <c r="E129" s="13">
        <f t="shared" si="12"/>
        <v>0.204721672</v>
      </c>
      <c r="F129" s="13">
        <f t="shared" si="13"/>
        <v>0.09361056087</v>
      </c>
    </row>
    <row r="130" ht="14.25" customHeight="1">
      <c r="A130" s="28">
        <f t="shared" si="14"/>
        <v>9</v>
      </c>
      <c r="B130" s="28">
        <v>74.0</v>
      </c>
      <c r="C130" s="31">
        <f t="shared" si="10"/>
        <v>1</v>
      </c>
      <c r="D130" s="13">
        <v>1.0</v>
      </c>
      <c r="E130" s="13">
        <f t="shared" si="12"/>
        <v>0</v>
      </c>
      <c r="F130" s="13">
        <f t="shared" si="13"/>
        <v>0.1111111111</v>
      </c>
    </row>
    <row r="131" ht="14.25" customHeight="1">
      <c r="D131" s="15" t="s">
        <v>68</v>
      </c>
    </row>
    <row r="132" ht="14.25" customHeight="1">
      <c r="A132" s="1" t="s">
        <v>38</v>
      </c>
      <c r="B132" s="1">
        <f>SUM(B122:B131)</f>
        <v>532</v>
      </c>
    </row>
    <row r="133" ht="14.25" customHeight="1"/>
    <row r="134" ht="14.25" customHeight="1">
      <c r="A134" s="1" t="s">
        <v>69</v>
      </c>
    </row>
    <row r="135" ht="14.25" customHeight="1">
      <c r="A135" s="1" t="s">
        <v>78</v>
      </c>
      <c r="B135" s="33">
        <f>+MAX(E122:E130,F122:F131)</f>
        <v>0.5641723773</v>
      </c>
    </row>
    <row r="136" ht="14.25" customHeight="1"/>
    <row r="137" ht="14.25" customHeight="1"/>
    <row r="138" ht="14.25" customHeight="1">
      <c r="A138" s="1" t="s">
        <v>79</v>
      </c>
      <c r="B138" s="1">
        <v>0.43</v>
      </c>
    </row>
    <row r="139" ht="14.25" customHeight="1">
      <c r="A139" s="1" t="s">
        <v>72</v>
      </c>
    </row>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c r="G150" s="13"/>
    </row>
    <row r="151" ht="14.25" customHeight="1">
      <c r="G151" s="13"/>
    </row>
    <row r="152" ht="14.25" customHeight="1">
      <c r="G152" s="13"/>
    </row>
    <row r="153" ht="14.25" customHeight="1">
      <c r="G153" s="13"/>
    </row>
    <row r="154" ht="14.25" customHeight="1">
      <c r="A154" s="15" t="s">
        <v>80</v>
      </c>
      <c r="G154" s="13"/>
    </row>
    <row r="155" ht="14.25" customHeight="1">
      <c r="G155" s="13"/>
    </row>
    <row r="156" ht="14.25" customHeight="1">
      <c r="G156" s="13"/>
    </row>
    <row r="157" ht="14.25" customHeight="1">
      <c r="G157" s="13"/>
    </row>
    <row r="158" ht="14.25" customHeight="1">
      <c r="G158" s="13"/>
    </row>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c r="D177" s="1" t="s">
        <v>81</v>
      </c>
    </row>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9">
    <mergeCell ref="D131:E132"/>
    <mergeCell ref="A154:F155"/>
    <mergeCell ref="C10:E10"/>
    <mergeCell ref="F10:G10"/>
    <mergeCell ref="A50:H52"/>
    <mergeCell ref="D65:D66"/>
    <mergeCell ref="E77:F78"/>
    <mergeCell ref="A103:F105"/>
    <mergeCell ref="D119:D120"/>
  </mergeCells>
  <printOptions/>
  <pageMargins bottom="0.75" footer="0.0" header="0.0" left="0.7" right="0.7" top="0.75"/>
  <pageSetup paperSize="9"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71"/>
    <col customWidth="1" min="2" max="2" width="14.71"/>
    <col customWidth="1" min="3" max="4" width="10.71"/>
    <col customWidth="1" min="5" max="5" width="18.29"/>
    <col customWidth="1" min="6" max="6" width="15.43"/>
    <col customWidth="1" min="7" max="26" width="10.71"/>
  </cols>
  <sheetData>
    <row r="1" ht="14.25" customHeight="1">
      <c r="A1" s="34" t="s">
        <v>82</v>
      </c>
    </row>
    <row r="2" ht="14.25" customHeight="1"/>
    <row r="3" ht="14.25" customHeight="1"/>
    <row r="4" ht="14.25" customHeight="1"/>
    <row r="5" ht="14.25" customHeight="1"/>
    <row r="6" ht="14.25" customHeight="1"/>
    <row r="7" ht="14.25" customHeight="1"/>
    <row r="8" ht="14.25" customHeight="1">
      <c r="A8" s="1" t="s">
        <v>83</v>
      </c>
    </row>
    <row r="9" ht="14.25" customHeight="1"/>
    <row r="10" ht="14.25" customHeight="1">
      <c r="A10" s="1" t="s">
        <v>84</v>
      </c>
    </row>
    <row r="11" ht="14.25" customHeight="1">
      <c r="A11" s="1" t="s">
        <v>85</v>
      </c>
      <c r="G11" s="35" t="s">
        <v>86</v>
      </c>
      <c r="H11" s="35"/>
    </row>
    <row r="12" ht="14.25" customHeight="1">
      <c r="A12" s="1" t="s">
        <v>87</v>
      </c>
      <c r="B12" s="1" t="s">
        <v>88</v>
      </c>
      <c r="G12" s="35" t="s">
        <v>89</v>
      </c>
      <c r="H12" s="35"/>
    </row>
    <row r="13" ht="14.25" customHeight="1">
      <c r="A13" s="1" t="s">
        <v>90</v>
      </c>
      <c r="B13" s="1" t="s">
        <v>88</v>
      </c>
    </row>
    <row r="14" ht="14.25" customHeight="1"/>
    <row r="15" ht="14.25" customHeight="1">
      <c r="A15" s="1" t="s">
        <v>91</v>
      </c>
      <c r="B15" s="1">
        <v>2000.0</v>
      </c>
    </row>
    <row r="16" ht="14.25" customHeight="1">
      <c r="A16" s="1" t="s">
        <v>92</v>
      </c>
      <c r="B16" s="1">
        <v>0.05</v>
      </c>
    </row>
    <row r="17" ht="14.25" customHeight="1">
      <c r="A17" s="1" t="s">
        <v>93</v>
      </c>
      <c r="C17" s="1">
        <v>63.0</v>
      </c>
    </row>
    <row r="18" ht="14.25" customHeight="1">
      <c r="A18" s="1" t="s">
        <v>94</v>
      </c>
      <c r="B18" s="1" t="s">
        <v>95</v>
      </c>
      <c r="C18" s="1">
        <v>20.0</v>
      </c>
    </row>
    <row r="19" ht="14.25" customHeight="1"/>
    <row r="20" ht="14.25" customHeight="1"/>
    <row r="21" ht="14.25" customHeight="1">
      <c r="A21" s="1" t="s">
        <v>96</v>
      </c>
    </row>
    <row r="22" ht="14.25" customHeight="1"/>
    <row r="23" ht="14.25" customHeight="1">
      <c r="A23" s="1" t="s">
        <v>97</v>
      </c>
      <c r="B23" s="1" t="s">
        <v>98</v>
      </c>
      <c r="C23" s="1" t="s">
        <v>99</v>
      </c>
    </row>
    <row r="24" ht="14.25" customHeight="1">
      <c r="A24" s="1" t="s">
        <v>97</v>
      </c>
      <c r="B24" s="1" t="s">
        <v>98</v>
      </c>
      <c r="C24" s="1" t="s">
        <v>100</v>
      </c>
    </row>
    <row r="25" ht="14.25" customHeight="1">
      <c r="A25" s="1" t="s">
        <v>97</v>
      </c>
      <c r="B25" s="1" t="s">
        <v>98</v>
      </c>
      <c r="C25" s="36">
        <f>+NORMSINV(0.95)</f>
        <v>1.644853625</v>
      </c>
    </row>
    <row r="26" ht="14.25" customHeight="1"/>
    <row r="27" ht="14.25" customHeight="1"/>
    <row r="28" ht="14.25" customHeight="1">
      <c r="A28" s="1" t="s">
        <v>101</v>
      </c>
    </row>
    <row r="29" ht="14.25" customHeight="1"/>
    <row r="30" ht="14.25" customHeight="1">
      <c r="E30" s="28" t="s">
        <v>102</v>
      </c>
      <c r="F30" s="28"/>
      <c r="H30" s="37">
        <v>3.0</v>
      </c>
      <c r="J30" s="13">
        <f>+H30/H31</f>
        <v>6.708203932</v>
      </c>
    </row>
    <row r="31" ht="14.25" customHeight="1">
      <c r="D31" s="1" t="s">
        <v>103</v>
      </c>
      <c r="E31" s="38">
        <v>20.0</v>
      </c>
      <c r="F31" s="22"/>
      <c r="G31" s="1" t="s">
        <v>103</v>
      </c>
      <c r="H31" s="1">
        <f>20/SQRT(2000)</f>
        <v>0.4472135955</v>
      </c>
      <c r="I31" s="1" t="s">
        <v>103</v>
      </c>
    </row>
    <row r="32" ht="14.25" customHeight="1">
      <c r="E32" s="22" t="s">
        <v>104</v>
      </c>
      <c r="F32" s="22"/>
    </row>
    <row r="33" ht="14.25" customHeight="1">
      <c r="E33" s="22"/>
      <c r="F33" s="22"/>
    </row>
    <row r="34" ht="14.25" customHeight="1"/>
    <row r="35" ht="14.25" customHeight="1"/>
    <row r="36" ht="14.25" customHeight="1">
      <c r="A36" s="1" t="s">
        <v>105</v>
      </c>
    </row>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c r="G47" s="15" t="s">
        <v>106</v>
      </c>
    </row>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c r="A61" s="1" t="s">
        <v>107</v>
      </c>
    </row>
    <row r="62" ht="14.25" customHeight="1"/>
    <row r="63" ht="14.25" customHeight="1"/>
    <row r="64" ht="14.25" customHeight="1"/>
    <row r="65" ht="14.25" customHeight="1">
      <c r="A65" s="1" t="s">
        <v>108</v>
      </c>
    </row>
    <row r="66" ht="14.25" customHeight="1">
      <c r="A66" s="15" t="s">
        <v>109</v>
      </c>
    </row>
    <row r="67" ht="14.25" customHeight="1"/>
    <row r="68" ht="14.25" customHeight="1"/>
    <row r="69" ht="14.25" customHeight="1"/>
    <row r="70" ht="14.25" customHeight="1"/>
    <row r="71" ht="14.25" customHeight="1"/>
    <row r="72" ht="14.25" customHeight="1"/>
    <row r="73" ht="14.25" customHeight="1"/>
    <row r="74" ht="14.25" customHeight="1"/>
    <row r="75" ht="4.5" customHeight="1">
      <c r="A75" s="39"/>
      <c r="B75" s="39"/>
      <c r="C75" s="39"/>
      <c r="D75" s="39"/>
      <c r="E75" s="39"/>
      <c r="F75" s="39"/>
      <c r="G75" s="39"/>
      <c r="H75" s="39"/>
      <c r="I75" s="39"/>
      <c r="J75" s="39"/>
      <c r="K75" s="39"/>
      <c r="L75" s="39"/>
      <c r="M75" s="39"/>
      <c r="N75" s="39"/>
      <c r="O75" s="39"/>
      <c r="P75" s="39"/>
    </row>
    <row r="76" ht="14.25" customHeight="1"/>
    <row r="77" ht="14.25" customHeight="1"/>
    <row r="78" ht="14.25" customHeight="1"/>
    <row r="79" ht="14.25" customHeight="1"/>
    <row r="80" ht="14.25" customHeight="1">
      <c r="A80" s="1" t="s">
        <v>87</v>
      </c>
      <c r="B80" s="1" t="s">
        <v>88</v>
      </c>
    </row>
    <row r="81" ht="14.25" customHeight="1">
      <c r="A81" s="1" t="s">
        <v>90</v>
      </c>
      <c r="B81" s="1" t="s">
        <v>88</v>
      </c>
    </row>
    <row r="82" ht="14.25" customHeight="1"/>
    <row r="83" ht="14.25" customHeight="1">
      <c r="A83" s="1" t="s">
        <v>91</v>
      </c>
      <c r="B83" s="1">
        <v>2000.0</v>
      </c>
    </row>
    <row r="84" ht="14.25" customHeight="1">
      <c r="A84" s="1" t="s">
        <v>92</v>
      </c>
      <c r="B84" s="1">
        <v>0.05</v>
      </c>
    </row>
    <row r="85" ht="14.25" customHeight="1">
      <c r="A85" s="1" t="s">
        <v>93</v>
      </c>
      <c r="B85" s="1">
        <v>63.0</v>
      </c>
    </row>
    <row r="86" ht="14.25" customHeight="1">
      <c r="A86" s="1" t="s">
        <v>94</v>
      </c>
      <c r="B86" s="1" t="s">
        <v>95</v>
      </c>
      <c r="C86" s="1">
        <v>20.0</v>
      </c>
    </row>
    <row r="87" ht="14.25" customHeight="1"/>
    <row r="88" ht="14.25" customHeight="1"/>
    <row r="89" ht="14.25" customHeight="1">
      <c r="A89" s="1" t="s">
        <v>110</v>
      </c>
    </row>
    <row r="90" ht="14.25" customHeight="1"/>
    <row r="91" ht="14.25" customHeight="1">
      <c r="A91" s="1" t="s">
        <v>111</v>
      </c>
    </row>
    <row r="92" ht="14.25" customHeight="1">
      <c r="G92" s="1" t="s">
        <v>112</v>
      </c>
    </row>
    <row r="93" ht="14.25" customHeight="1"/>
    <row r="94" ht="14.25" customHeight="1"/>
    <row r="95" ht="14.25" customHeight="1"/>
    <row r="96" ht="14.25" customHeight="1"/>
    <row r="97" ht="14.25" customHeight="1">
      <c r="A97" s="1" t="s">
        <v>113</v>
      </c>
      <c r="B97" s="33">
        <f>60+C25*C86/SQRT(2000)</f>
        <v>60.7356009</v>
      </c>
    </row>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c r="A108" s="1" t="s">
        <v>114</v>
      </c>
    </row>
    <row r="109" ht="14.25" customHeight="1"/>
    <row r="110" ht="14.25" customHeight="1"/>
    <row r="111" ht="14.25" customHeight="1">
      <c r="A111" s="1" t="s">
        <v>115</v>
      </c>
    </row>
    <row r="112" ht="14.25" customHeight="1"/>
    <row r="113" ht="14.25" customHeight="1">
      <c r="A113" s="15" t="s">
        <v>109</v>
      </c>
    </row>
    <row r="114" ht="14.25" customHeight="1"/>
    <row r="115" ht="14.25" customHeight="1"/>
    <row r="116" ht="14.25" customHeight="1"/>
    <row r="117" ht="14.25" customHeight="1"/>
    <row r="118" ht="14.25" customHeight="1"/>
    <row r="119" ht="14.25" customHeight="1">
      <c r="A119" s="1" t="s">
        <v>116</v>
      </c>
      <c r="D119" s="1" t="s">
        <v>117</v>
      </c>
    </row>
    <row r="120" ht="14.25" customHeight="1"/>
    <row r="121" ht="14.25" customHeight="1">
      <c r="A121" s="1" t="s">
        <v>118</v>
      </c>
    </row>
    <row r="122" ht="14.25" customHeight="1"/>
    <row r="123" ht="14.25" customHeight="1">
      <c r="A123" s="1" t="s">
        <v>119</v>
      </c>
    </row>
    <row r="124" ht="14.25" customHeight="1"/>
    <row r="125" ht="14.25" customHeight="1">
      <c r="A125" s="1" t="s">
        <v>120</v>
      </c>
      <c r="B125" s="1" t="s">
        <v>121</v>
      </c>
    </row>
    <row r="126" ht="14.25" customHeight="1"/>
    <row r="127" ht="14.25" customHeight="1"/>
    <row r="128" ht="14.25" customHeight="1"/>
    <row r="129" ht="14.25" customHeight="1"/>
    <row r="130" ht="14.25" customHeight="1"/>
    <row r="131" ht="14.25" customHeight="1"/>
    <row r="132" ht="14.25" customHeight="1">
      <c r="E132" s="40" t="str">
        <f>1-_xlfn.NORM.S.DIST(6.71,TRUE)</f>
        <v>#N/A</v>
      </c>
    </row>
    <row r="133" ht="14.25" customHeight="1"/>
    <row r="134" ht="14.25" customHeight="1"/>
    <row r="135" ht="14.25" customHeight="1"/>
    <row r="136" ht="14.25" customHeight="1"/>
    <row r="137" ht="14.25" customHeight="1"/>
    <row r="138" ht="14.25" customHeight="1"/>
    <row r="139" ht="14.25" customHeight="1"/>
    <row r="140" ht="14.25" customHeight="1"/>
    <row r="141" ht="3.75" customHeight="1">
      <c r="A141" s="39"/>
      <c r="B141" s="39"/>
      <c r="C141" s="39"/>
      <c r="D141" s="39"/>
      <c r="E141" s="39"/>
      <c r="F141" s="39"/>
      <c r="G141" s="39"/>
      <c r="H141" s="39"/>
      <c r="I141" s="39"/>
      <c r="J141" s="39"/>
      <c r="K141" s="39"/>
      <c r="L141" s="39"/>
      <c r="M141" s="39"/>
      <c r="N141" s="39"/>
    </row>
    <row r="142" ht="14.25" customHeight="1"/>
    <row r="143" ht="14.25" customHeight="1"/>
    <row r="144" ht="14.25" customHeight="1"/>
    <row r="145" ht="14.25" customHeight="1"/>
    <row r="146" ht="14.25" customHeight="1"/>
    <row r="147" ht="14.25" customHeight="1">
      <c r="C147" s="41" t="s">
        <v>122</v>
      </c>
      <c r="D147" s="41"/>
    </row>
    <row r="148" ht="14.25" customHeight="1"/>
    <row r="149" ht="14.25" customHeight="1">
      <c r="A149" s="34" t="s">
        <v>123</v>
      </c>
    </row>
    <row r="150" ht="14.25" customHeight="1"/>
    <row r="151" ht="14.25" customHeight="1"/>
    <row r="152" ht="14.25" customHeight="1"/>
    <row r="153" ht="14.25" customHeight="1"/>
    <row r="154" ht="14.25" customHeight="1"/>
    <row r="155" ht="14.25" customHeight="1">
      <c r="A155" s="1" t="s">
        <v>124</v>
      </c>
    </row>
    <row r="156" ht="14.25" customHeight="1"/>
    <row r="157" ht="14.25" customHeight="1">
      <c r="A157" s="1" t="s">
        <v>125</v>
      </c>
      <c r="B157" s="22">
        <v>70.0</v>
      </c>
    </row>
    <row r="158" ht="14.25" customHeight="1">
      <c r="A158" s="1" t="s">
        <v>126</v>
      </c>
      <c r="B158" s="22">
        <v>70.0</v>
      </c>
      <c r="C158" s="1" t="s">
        <v>127</v>
      </c>
      <c r="F158" s="42" t="s">
        <v>128</v>
      </c>
    </row>
    <row r="159" ht="14.25" customHeight="1">
      <c r="B159" s="22"/>
    </row>
    <row r="160" ht="14.25" customHeight="1">
      <c r="A160" s="1" t="s">
        <v>91</v>
      </c>
      <c r="B160" s="22">
        <v>250.0</v>
      </c>
    </row>
    <row r="161" ht="14.25" customHeight="1">
      <c r="A161" s="1" t="s">
        <v>92</v>
      </c>
      <c r="B161" s="22">
        <v>0.01</v>
      </c>
    </row>
    <row r="162" ht="14.25" customHeight="1">
      <c r="A162" s="1" t="s">
        <v>93</v>
      </c>
      <c r="B162" s="22">
        <v>69.0</v>
      </c>
    </row>
    <row r="163" ht="14.25" customHeight="1">
      <c r="A163" s="1" t="s">
        <v>129</v>
      </c>
      <c r="B163" s="1" t="s">
        <v>130</v>
      </c>
      <c r="C163" s="22">
        <v>3.0</v>
      </c>
    </row>
    <row r="164" ht="14.25" customHeight="1"/>
    <row r="165" ht="14.25" customHeight="1">
      <c r="A165" s="1" t="s">
        <v>131</v>
      </c>
    </row>
    <row r="166" ht="14.25" customHeight="1"/>
    <row r="167" ht="14.25" customHeight="1">
      <c r="A167" s="1" t="s">
        <v>132</v>
      </c>
      <c r="B167" s="43" t="s">
        <v>133</v>
      </c>
      <c r="C167" s="1" t="s">
        <v>99</v>
      </c>
    </row>
    <row r="168" ht="14.25" customHeight="1">
      <c r="A168" s="1" t="s">
        <v>132</v>
      </c>
      <c r="B168" s="43" t="s">
        <v>133</v>
      </c>
      <c r="C168" s="1" t="s">
        <v>134</v>
      </c>
    </row>
    <row r="169" ht="14.25" customHeight="1">
      <c r="A169" s="1" t="s">
        <v>132</v>
      </c>
      <c r="B169" s="43" t="s">
        <v>133</v>
      </c>
      <c r="C169" s="36">
        <f>+NORMSINV(0.99)</f>
        <v>2.326347874</v>
      </c>
    </row>
    <row r="170" ht="14.25" customHeight="1"/>
    <row r="171" ht="14.25" customHeight="1"/>
    <row r="172" ht="14.25" customHeight="1">
      <c r="A172" s="1" t="s">
        <v>135</v>
      </c>
    </row>
    <row r="173" ht="14.25" customHeight="1"/>
    <row r="174" ht="14.25" customHeight="1"/>
    <row r="175" ht="14.25" customHeight="1">
      <c r="D175" s="28" t="s">
        <v>136</v>
      </c>
      <c r="E175" s="28"/>
      <c r="G175" s="37">
        <v>-1.0</v>
      </c>
      <c r="I175" s="1">
        <f>+G175/G176</f>
        <v>-5.270462767</v>
      </c>
    </row>
    <row r="176" ht="14.25" customHeight="1">
      <c r="C176" s="1" t="s">
        <v>103</v>
      </c>
      <c r="D176" s="38">
        <v>3.0</v>
      </c>
      <c r="E176" s="22"/>
      <c r="F176" s="1" t="s">
        <v>103</v>
      </c>
      <c r="G176" s="1">
        <f>3/SQRT(250)</f>
        <v>0.1897366596</v>
      </c>
    </row>
    <row r="177" ht="14.25" customHeight="1">
      <c r="D177" s="22" t="s">
        <v>137</v>
      </c>
      <c r="E177" s="22"/>
    </row>
    <row r="178" ht="14.25" customHeight="1">
      <c r="D178" s="22"/>
      <c r="E178" s="22"/>
    </row>
    <row r="179" ht="14.25" customHeight="1"/>
    <row r="180" ht="14.25" customHeight="1">
      <c r="A180" s="1" t="s">
        <v>138</v>
      </c>
    </row>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c r="A196" s="1" t="s">
        <v>139</v>
      </c>
    </row>
    <row r="197" ht="14.25" customHeight="1"/>
    <row r="198" ht="14.25" customHeight="1"/>
    <row r="199" ht="14.25" customHeight="1">
      <c r="A199" s="1" t="s">
        <v>108</v>
      </c>
    </row>
    <row r="200" ht="14.25" customHeight="1">
      <c r="A200" s="15" t="s">
        <v>140</v>
      </c>
    </row>
    <row r="201" ht="14.25" customHeight="1"/>
    <row r="202" ht="14.25" customHeight="1"/>
    <row r="203" ht="14.25" customHeight="1"/>
    <row r="204" ht="14.25" customHeight="1"/>
    <row r="205" ht="14.25" customHeight="1"/>
    <row r="206" ht="14.25" customHeight="1"/>
    <row r="207" ht="14.25" customHeight="1"/>
    <row r="208" ht="14.25" customHeight="1">
      <c r="C208" s="42" t="s">
        <v>112</v>
      </c>
      <c r="D208" s="37"/>
      <c r="E208" s="37"/>
    </row>
    <row r="209" ht="14.25" customHeight="1"/>
    <row r="210" ht="14.25" customHeight="1">
      <c r="A210" s="1" t="s">
        <v>125</v>
      </c>
      <c r="B210" s="22">
        <v>70.0</v>
      </c>
    </row>
    <row r="211" ht="14.25" customHeight="1">
      <c r="A211" s="1" t="s">
        <v>126</v>
      </c>
      <c r="B211" s="22">
        <v>70.0</v>
      </c>
      <c r="C211" s="1" t="s">
        <v>127</v>
      </c>
    </row>
    <row r="212" ht="14.25" customHeight="1">
      <c r="B212" s="22"/>
    </row>
    <row r="213" ht="14.25" customHeight="1">
      <c r="A213" s="1" t="s">
        <v>91</v>
      </c>
      <c r="B213" s="22">
        <v>250.0</v>
      </c>
    </row>
    <row r="214" ht="14.25" customHeight="1">
      <c r="A214" s="1" t="s">
        <v>92</v>
      </c>
      <c r="B214" s="22">
        <v>0.01</v>
      </c>
    </row>
    <row r="215" ht="14.25" customHeight="1">
      <c r="A215" s="1" t="s">
        <v>93</v>
      </c>
      <c r="B215" s="22">
        <v>69.0</v>
      </c>
      <c r="C215" s="1" t="s">
        <v>141</v>
      </c>
    </row>
    <row r="216" ht="14.25" customHeight="1">
      <c r="A216" s="1" t="s">
        <v>129</v>
      </c>
      <c r="B216" s="1" t="s">
        <v>130</v>
      </c>
      <c r="C216" s="22">
        <v>3.0</v>
      </c>
    </row>
    <row r="217" ht="14.25" customHeight="1"/>
    <row r="218" ht="14.25" customHeight="1">
      <c r="A218" s="1" t="s">
        <v>142</v>
      </c>
      <c r="F218" s="1" t="s">
        <v>143</v>
      </c>
    </row>
    <row r="219" ht="14.25" customHeight="1">
      <c r="A219" s="1" t="s">
        <v>144</v>
      </c>
      <c r="E219" s="43" t="s">
        <v>133</v>
      </c>
      <c r="F219" s="36">
        <f>+C169</f>
        <v>2.326347874</v>
      </c>
    </row>
    <row r="220" ht="14.25" customHeight="1"/>
    <row r="221" ht="14.25" customHeight="1">
      <c r="A221" s="1" t="s">
        <v>131</v>
      </c>
    </row>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c r="C236" s="33">
        <f>+B210-F219*C216/SQRT(B213)</f>
        <v>69.55860653</v>
      </c>
    </row>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c r="A252" s="1" t="s">
        <v>145</v>
      </c>
    </row>
    <row r="253" ht="14.25" customHeight="1"/>
    <row r="254" ht="14.25" customHeight="1">
      <c r="A254" s="1" t="s">
        <v>108</v>
      </c>
    </row>
    <row r="255" ht="14.25" customHeight="1">
      <c r="A255" s="15" t="s">
        <v>140</v>
      </c>
    </row>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c r="A265" s="1" t="s">
        <v>146</v>
      </c>
    </row>
    <row r="266" ht="14.25" customHeight="1"/>
    <row r="267" ht="14.25" customHeight="1">
      <c r="A267" s="1" t="s">
        <v>147</v>
      </c>
    </row>
    <row r="268" ht="14.25" customHeight="1"/>
    <row r="269" ht="14.25" customHeight="1"/>
    <row r="270" ht="14.25" customHeight="1"/>
    <row r="271" ht="14.25" customHeight="1">
      <c r="A271" s="1" t="s">
        <v>148</v>
      </c>
      <c r="B271" s="1" t="s">
        <v>149</v>
      </c>
    </row>
    <row r="272" ht="14.25" customHeight="1">
      <c r="A272" s="1" t="s">
        <v>148</v>
      </c>
      <c r="B272" s="1" t="s">
        <v>150</v>
      </c>
    </row>
    <row r="273" ht="14.25" customHeight="1">
      <c r="A273" s="1" t="s">
        <v>148</v>
      </c>
      <c r="B273" s="1" t="s">
        <v>151</v>
      </c>
    </row>
    <row r="274" ht="14.25" customHeight="1">
      <c r="A274" s="1" t="s">
        <v>148</v>
      </c>
      <c r="B274" s="44" t="str">
        <f>+_xlfn.NORM.S.DIST(-5.26,TRUE)</f>
        <v>#N/A</v>
      </c>
    </row>
    <row r="275" ht="14.25" customHeight="1">
      <c r="A275" s="1" t="s">
        <v>148</v>
      </c>
      <c r="B275" s="1" t="s">
        <v>152</v>
      </c>
    </row>
    <row r="276" ht="14.25" customHeight="1"/>
    <row r="277" ht="14.25" customHeight="1">
      <c r="A277" s="1" t="s">
        <v>153</v>
      </c>
    </row>
    <row r="278" ht="14.25" customHeight="1"/>
    <row r="279" ht="14.25" customHeight="1">
      <c r="A279" s="1" t="s">
        <v>154</v>
      </c>
    </row>
    <row r="280" ht="14.25" customHeight="1"/>
    <row r="281" ht="14.25" customHeight="1"/>
    <row r="282" ht="14.25" customHeight="1"/>
    <row r="283" ht="14.25" customHeight="1"/>
    <row r="284" ht="14.25" customHeight="1"/>
    <row r="285" ht="14.25" customHeight="1"/>
    <row r="286" ht="14.25" customHeight="1">
      <c r="A286" s="34" t="s">
        <v>155</v>
      </c>
    </row>
    <row r="287" ht="14.25" customHeight="1"/>
    <row r="288" ht="14.25" customHeight="1"/>
    <row r="289" ht="14.25" customHeight="1">
      <c r="A289" s="45"/>
      <c r="B289" s="45"/>
      <c r="C289" s="45"/>
      <c r="D289" s="45"/>
      <c r="E289" s="45"/>
      <c r="F289" s="45"/>
      <c r="G289" s="45"/>
    </row>
    <row r="290" ht="14.25" customHeight="1">
      <c r="A290" s="45"/>
      <c r="B290" s="45" t="s">
        <v>156</v>
      </c>
      <c r="C290" s="45"/>
      <c r="D290" s="45"/>
      <c r="E290" s="45"/>
      <c r="F290" s="45"/>
      <c r="G290" s="45"/>
    </row>
    <row r="291" ht="14.25" customHeight="1">
      <c r="A291" s="45"/>
      <c r="B291" s="45"/>
      <c r="C291" s="45"/>
      <c r="D291" s="45"/>
      <c r="E291" s="45"/>
      <c r="F291" s="45"/>
      <c r="G291" s="45"/>
    </row>
    <row r="292" ht="14.25" customHeight="1">
      <c r="A292" s="45"/>
      <c r="B292" s="45"/>
      <c r="C292" s="45"/>
      <c r="D292" s="45"/>
      <c r="E292" s="45"/>
      <c r="F292" s="45"/>
      <c r="G292" s="45"/>
    </row>
    <row r="293" ht="14.25" customHeight="1">
      <c r="A293" s="1" t="s">
        <v>157</v>
      </c>
    </row>
    <row r="294" ht="14.25" customHeight="1">
      <c r="A294" s="1" t="s">
        <v>158</v>
      </c>
    </row>
    <row r="295" ht="14.25" customHeight="1">
      <c r="A295" s="1" t="s">
        <v>159</v>
      </c>
    </row>
    <row r="296" ht="14.25" customHeight="1"/>
    <row r="297" ht="14.25" customHeight="1">
      <c r="A297" s="1" t="s">
        <v>160</v>
      </c>
      <c r="B297" s="1">
        <v>65.0</v>
      </c>
      <c r="C297" s="1" t="s">
        <v>161</v>
      </c>
    </row>
    <row r="298" ht="14.25" customHeight="1">
      <c r="A298" s="1" t="s">
        <v>162</v>
      </c>
      <c r="B298" s="1">
        <v>65.0</v>
      </c>
      <c r="C298" s="1" t="s">
        <v>161</v>
      </c>
    </row>
    <row r="299" ht="14.25" customHeight="1"/>
    <row r="300" ht="14.25" customHeight="1">
      <c r="A300" s="1" t="s">
        <v>91</v>
      </c>
      <c r="B300" s="1">
        <v>9.0</v>
      </c>
    </row>
    <row r="301" ht="14.25" customHeight="1">
      <c r="A301" s="1" t="s">
        <v>92</v>
      </c>
      <c r="B301" s="1">
        <v>0.1</v>
      </c>
    </row>
    <row r="302" ht="14.25" customHeight="1"/>
    <row r="303" ht="14.25" customHeight="1">
      <c r="A303" s="1">
        <v>49.0</v>
      </c>
      <c r="B303" s="1">
        <v>52.0</v>
      </c>
      <c r="C303" s="1">
        <v>53.0</v>
      </c>
      <c r="D303" s="1">
        <v>54.0</v>
      </c>
      <c r="E303" s="1">
        <v>54.0</v>
      </c>
      <c r="F303" s="1">
        <v>63.0</v>
      </c>
      <c r="G303" s="1">
        <v>65.0</v>
      </c>
      <c r="H303" s="1">
        <v>68.0</v>
      </c>
      <c r="I303" s="1">
        <v>74.0</v>
      </c>
    </row>
    <row r="304" ht="14.25" customHeight="1"/>
    <row r="305" ht="14.25" customHeight="1">
      <c r="A305" s="1" t="s">
        <v>163</v>
      </c>
    </row>
    <row r="306" ht="14.25" customHeight="1"/>
    <row r="307" ht="14.25" customHeight="1">
      <c r="A307" s="1" t="s">
        <v>164</v>
      </c>
      <c r="B307" s="1" t="s">
        <v>165</v>
      </c>
      <c r="C307" s="1" t="s">
        <v>166</v>
      </c>
    </row>
    <row r="308" ht="14.25" customHeight="1">
      <c r="A308" s="1" t="s">
        <v>164</v>
      </c>
      <c r="B308" s="1" t="s">
        <v>165</v>
      </c>
      <c r="C308" s="1" t="s">
        <v>167</v>
      </c>
    </row>
    <row r="309" ht="14.25" customHeight="1">
      <c r="A309" s="1" t="s">
        <v>164</v>
      </c>
      <c r="B309" s="1" t="s">
        <v>165</v>
      </c>
      <c r="C309" s="1" t="s">
        <v>168</v>
      </c>
    </row>
    <row r="310" ht="14.25" customHeight="1">
      <c r="A310" s="1" t="s">
        <v>164</v>
      </c>
      <c r="B310" s="1" t="s">
        <v>165</v>
      </c>
      <c r="C310" s="1">
        <f>+_xlfn.T.INV.2T(0.1,8)</f>
        <v>1.859548038</v>
      </c>
    </row>
    <row r="311" ht="14.25" customHeight="1">
      <c r="C311" s="1">
        <f>+_xlfn.T.INV(0.05,8)</f>
        <v>-1.859548038</v>
      </c>
    </row>
    <row r="312" ht="14.25" customHeight="1"/>
    <row r="313" ht="14.25" customHeight="1">
      <c r="A313" s="1" t="s">
        <v>169</v>
      </c>
    </row>
    <row r="314" ht="14.25" customHeight="1"/>
    <row r="315" ht="14.25" customHeight="1">
      <c r="A315" s="1">
        <v>49.0</v>
      </c>
      <c r="B315" s="1">
        <v>52.0</v>
      </c>
      <c r="C315" s="1">
        <v>53.0</v>
      </c>
      <c r="D315" s="1">
        <v>54.0</v>
      </c>
      <c r="E315" s="1">
        <v>54.0</v>
      </c>
      <c r="F315" s="1">
        <v>63.0</v>
      </c>
      <c r="G315" s="1">
        <v>65.0</v>
      </c>
      <c r="H315" s="1">
        <v>68.0</v>
      </c>
      <c r="I315" s="1">
        <v>74.0</v>
      </c>
    </row>
    <row r="316" ht="14.25" customHeight="1"/>
    <row r="317" ht="14.25" customHeight="1">
      <c r="A317" s="1" t="s">
        <v>170</v>
      </c>
      <c r="B317" s="1">
        <f>+AVERAGE(A315:I315)</f>
        <v>59.11111111</v>
      </c>
    </row>
    <row r="318" ht="14.25" customHeight="1">
      <c r="A318" s="1" t="s">
        <v>171</v>
      </c>
      <c r="B318" s="1">
        <f>+_xlfn.STDEV.S(A315:I315)</f>
        <v>8.608781047</v>
      </c>
      <c r="E318" s="1">
        <f>+(B317-B298)/(B318/SQRT(9))</f>
        <v>-2.052168196</v>
      </c>
    </row>
    <row r="319" ht="14.25" customHeight="1"/>
    <row r="320" ht="14.25" customHeight="1"/>
    <row r="321" ht="14.25" customHeight="1">
      <c r="C321" s="1" t="s">
        <v>172</v>
      </c>
      <c r="D321" s="37" t="s">
        <v>173</v>
      </c>
      <c r="E321" s="37"/>
      <c r="F321" s="1">
        <f>+B317-B297</f>
        <v>-5.888888889</v>
      </c>
      <c r="H321" s="1">
        <f>+F321/F322</f>
        <v>-2.052168196</v>
      </c>
    </row>
    <row r="322" ht="14.25" customHeight="1">
      <c r="D322" s="46">
        <v>8.61</v>
      </c>
      <c r="F322" s="1">
        <f>+B318/SQRT(B300)</f>
        <v>2.869593682</v>
      </c>
    </row>
    <row r="323" ht="14.25" customHeight="1">
      <c r="B323" s="1" t="s">
        <v>174</v>
      </c>
      <c r="D323" s="1" t="s">
        <v>175</v>
      </c>
    </row>
    <row r="324" ht="14.25" customHeight="1"/>
    <row r="325" ht="14.25" customHeight="1"/>
    <row r="326" ht="14.25" customHeight="1"/>
    <row r="327" ht="14.25" customHeight="1">
      <c r="A327" s="1" t="s">
        <v>176</v>
      </c>
    </row>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c r="A341" s="1" t="s">
        <v>177</v>
      </c>
    </row>
    <row r="342" ht="12.0" customHeight="1">
      <c r="A342" s="15" t="s">
        <v>178</v>
      </c>
    </row>
    <row r="343" ht="14.25" customHeight="1"/>
    <row r="344" ht="14.25" customHeight="1"/>
    <row r="345" ht="14.25" customHeight="1"/>
    <row r="346" ht="14.25" customHeight="1"/>
    <row r="347" ht="14.25" customHeight="1">
      <c r="E347" s="1" t="s">
        <v>179</v>
      </c>
    </row>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c r="A374" s="1" t="s">
        <v>180</v>
      </c>
    </row>
    <row r="375" ht="14.25" customHeight="1"/>
    <row r="376" ht="14.25" customHeight="1">
      <c r="A376" s="1" t="s">
        <v>108</v>
      </c>
    </row>
    <row r="377" ht="14.25" customHeight="1"/>
    <row r="378" ht="14.25" customHeight="1">
      <c r="A378" s="15" t="s">
        <v>181</v>
      </c>
    </row>
    <row r="379" ht="14.25" customHeight="1"/>
    <row r="380" ht="14.25" customHeight="1"/>
    <row r="381" ht="14.25" customHeight="1"/>
    <row r="382" ht="14.25" customHeight="1"/>
    <row r="383" ht="14.25" customHeight="1">
      <c r="A383" s="1" t="s">
        <v>182</v>
      </c>
    </row>
    <row r="384" ht="14.25" customHeight="1"/>
    <row r="385" ht="14.25" customHeight="1">
      <c r="A385" s="1" t="s">
        <v>183</v>
      </c>
      <c r="B385" s="1" t="s">
        <v>184</v>
      </c>
    </row>
    <row r="386" ht="14.25" customHeight="1"/>
    <row r="387" ht="14.25" customHeight="1">
      <c r="A387" s="1">
        <v>49.0</v>
      </c>
      <c r="B387" s="1">
        <v>52.0</v>
      </c>
      <c r="C387" s="1">
        <v>53.0</v>
      </c>
      <c r="D387" s="1">
        <v>54.0</v>
      </c>
      <c r="E387" s="1">
        <v>54.0</v>
      </c>
      <c r="F387" s="1">
        <v>63.0</v>
      </c>
      <c r="G387" s="1">
        <v>65.0</v>
      </c>
      <c r="H387" s="1">
        <v>68.0</v>
      </c>
      <c r="I387" s="1">
        <v>74.0</v>
      </c>
    </row>
    <row r="388" ht="14.25" customHeight="1"/>
    <row r="389" ht="14.25" customHeight="1">
      <c r="A389" s="1" t="s">
        <v>185</v>
      </c>
      <c r="B389" s="1">
        <f>+AVERAGE(A387:I387)</f>
        <v>59.11111111</v>
      </c>
    </row>
    <row r="390" ht="14.25" customHeight="1">
      <c r="A390" s="1" t="s">
        <v>186</v>
      </c>
      <c r="B390" s="1">
        <f>+_xlfn.STDEV.S(A387:I387)</f>
        <v>8.608781047</v>
      </c>
    </row>
    <row r="391" ht="14.25" customHeight="1">
      <c r="A391" s="1" t="s">
        <v>91</v>
      </c>
      <c r="B391" s="1">
        <v>9.0</v>
      </c>
    </row>
    <row r="392" ht="14.25" customHeight="1">
      <c r="A392" s="1" t="s">
        <v>187</v>
      </c>
      <c r="B392" s="1" t="s">
        <v>188</v>
      </c>
    </row>
    <row r="393" ht="14.25" customHeight="1">
      <c r="A393" s="1" t="s">
        <v>164</v>
      </c>
      <c r="B393" s="1" t="s">
        <v>165</v>
      </c>
      <c r="C393" s="1" t="s">
        <v>166</v>
      </c>
    </row>
    <row r="394" ht="14.25" customHeight="1">
      <c r="A394" s="1" t="s">
        <v>164</v>
      </c>
      <c r="B394" s="1" t="s">
        <v>165</v>
      </c>
      <c r="C394" s="1" t="s">
        <v>167</v>
      </c>
    </row>
    <row r="395" ht="14.25" customHeight="1">
      <c r="A395" s="1" t="s">
        <v>164</v>
      </c>
      <c r="B395" s="1" t="s">
        <v>165</v>
      </c>
      <c r="C395" s="1" t="s">
        <v>189</v>
      </c>
    </row>
    <row r="396" ht="14.25" customHeight="1">
      <c r="A396" s="1" t="s">
        <v>164</v>
      </c>
      <c r="B396" s="1" t="s">
        <v>165</v>
      </c>
      <c r="C396" s="1">
        <f>+_xlfn.T.INV.2T(0.1,8)</f>
        <v>1.859548038</v>
      </c>
    </row>
    <row r="397" ht="14.25" customHeight="1">
      <c r="C397" s="1">
        <f>+_xlfn.T.INV(0.95,8)</f>
        <v>1.859548038</v>
      </c>
    </row>
    <row r="398" ht="14.25" customHeight="1"/>
    <row r="399" ht="14.25" customHeight="1">
      <c r="A399" s="1" t="s">
        <v>190</v>
      </c>
    </row>
    <row r="400" ht="14.25" customHeight="1"/>
    <row r="401" ht="14.25" customHeight="1"/>
    <row r="402" ht="14.25" customHeight="1"/>
    <row r="403" ht="14.25" customHeight="1"/>
    <row r="404" ht="14.25" customHeight="1">
      <c r="A404" s="1" t="s">
        <v>190</v>
      </c>
    </row>
    <row r="405" ht="14.25" customHeight="1">
      <c r="B405" s="1">
        <f>+B297+C396*B390/SQRT(B391)</f>
        <v>70.3361473</v>
      </c>
    </row>
    <row r="406" ht="14.25" customHeight="1">
      <c r="B406" s="1">
        <f>+B298-C396*B390/SQRT(B391)</f>
        <v>59.6638527</v>
      </c>
    </row>
    <row r="407" ht="14.25" customHeight="1">
      <c r="B407" s="1" t="s">
        <v>191</v>
      </c>
    </row>
    <row r="408" ht="14.25" customHeight="1"/>
    <row r="409" ht="14.25" customHeight="1"/>
    <row r="410" ht="14.25" customHeight="1">
      <c r="A410" s="1" t="s">
        <v>192</v>
      </c>
      <c r="B410" s="1" t="s">
        <v>193</v>
      </c>
    </row>
    <row r="411" ht="14.25" customHeight="1"/>
    <row r="412" ht="14.25" customHeight="1">
      <c r="A412" s="1" t="s">
        <v>194</v>
      </c>
    </row>
    <row r="413" ht="14.25" customHeight="1"/>
    <row r="414" ht="14.25" customHeight="1">
      <c r="A414" s="1" t="s">
        <v>195</v>
      </c>
    </row>
    <row r="415" ht="14.25" customHeight="1">
      <c r="A415" s="1" t="s">
        <v>196</v>
      </c>
    </row>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c r="B432" s="1" t="s">
        <v>197</v>
      </c>
      <c r="D432" s="1" t="s">
        <v>198</v>
      </c>
    </row>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c r="A454" s="1" t="s">
        <v>199</v>
      </c>
    </row>
    <row r="455" ht="14.25" customHeight="1">
      <c r="D455" s="1" t="s">
        <v>200</v>
      </c>
    </row>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0">
    <mergeCell ref="A286:G288"/>
    <mergeCell ref="A342:G343"/>
    <mergeCell ref="A378:G379"/>
    <mergeCell ref="A1:I6"/>
    <mergeCell ref="G47:H49"/>
    <mergeCell ref="A66:G67"/>
    <mergeCell ref="A113:G114"/>
    <mergeCell ref="A149:H153"/>
    <mergeCell ref="A200:H201"/>
    <mergeCell ref="A255:H256"/>
  </mergeCells>
  <printOptions/>
  <pageMargins bottom="0.75" footer="0.0" header="0.0" left="0.7" right="0.7" top="0.75"/>
  <pageSetup paperSize="9"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71"/>
    <col customWidth="1" min="2" max="2" width="12.43"/>
    <col customWidth="1" min="3" max="26" width="10.71"/>
  </cols>
  <sheetData>
    <row r="1" ht="14.25" customHeight="1">
      <c r="A1" s="34" t="s">
        <v>201</v>
      </c>
    </row>
    <row r="2" ht="14.25" customHeight="1"/>
    <row r="3" ht="14.25" customHeight="1"/>
    <row r="4" ht="14.25" customHeight="1"/>
    <row r="5" ht="14.25" customHeight="1"/>
    <row r="6" ht="14.25" customHeight="1"/>
    <row r="7" ht="14.25" customHeight="1"/>
    <row r="8" ht="14.25" customHeight="1"/>
    <row r="9" ht="14.25" customHeight="1"/>
    <row r="10" ht="14.25" customHeight="1"/>
    <row r="11" ht="14.25" customHeight="1"/>
    <row r="12" ht="14.25" customHeight="1"/>
    <row r="13" ht="14.25" customHeight="1">
      <c r="A13" s="1" t="s">
        <v>202</v>
      </c>
    </row>
    <row r="14" ht="14.25" customHeight="1"/>
    <row r="15" ht="14.25" customHeight="1">
      <c r="A15" s="1" t="s">
        <v>203</v>
      </c>
    </row>
    <row r="16" ht="14.25" customHeight="1">
      <c r="A16" s="1" t="s">
        <v>204</v>
      </c>
    </row>
    <row r="17" ht="14.25" customHeight="1">
      <c r="A17" s="1" t="s">
        <v>205</v>
      </c>
    </row>
    <row r="18" ht="14.25" customHeight="1">
      <c r="A18" s="1" t="s">
        <v>206</v>
      </c>
      <c r="F18" s="1" t="s">
        <v>207</v>
      </c>
    </row>
    <row r="19" ht="14.25" customHeight="1">
      <c r="A19" s="1" t="s">
        <v>208</v>
      </c>
    </row>
    <row r="20" ht="14.25" customHeight="1">
      <c r="A20" s="1" t="s">
        <v>52</v>
      </c>
    </row>
    <row r="21" ht="14.25" customHeight="1"/>
    <row r="22" ht="14.25" customHeight="1">
      <c r="A22" s="1" t="s">
        <v>209</v>
      </c>
    </row>
    <row r="23" ht="14.25" customHeight="1">
      <c r="A23" s="1" t="s">
        <v>210</v>
      </c>
      <c r="B23" s="37" t="s">
        <v>211</v>
      </c>
      <c r="C23" s="1" t="s">
        <v>172</v>
      </c>
      <c r="D23" s="37">
        <v>100.0</v>
      </c>
      <c r="E23" s="47" t="s">
        <v>172</v>
      </c>
      <c r="F23" s="1">
        <f>+D23/D24</f>
        <v>0.5102040816</v>
      </c>
    </row>
    <row r="24" ht="14.25" customHeight="1">
      <c r="B24" s="1" t="s">
        <v>212</v>
      </c>
      <c r="D24" s="1">
        <v>196.0</v>
      </c>
    </row>
    <row r="25" ht="14.25" customHeight="1"/>
    <row r="26" ht="14.25" customHeight="1">
      <c r="A26" s="1" t="s">
        <v>213</v>
      </c>
    </row>
    <row r="27" ht="14.25" customHeight="1"/>
    <row r="28" ht="14.25" customHeight="1"/>
    <row r="29" ht="14.25" customHeight="1"/>
    <row r="30" ht="14.25" customHeight="1"/>
    <row r="31" ht="14.25" customHeight="1"/>
    <row r="32" ht="14.25" customHeight="1"/>
    <row r="33" ht="14.25" customHeight="1"/>
    <row r="34" ht="14.25" customHeight="1">
      <c r="A34" s="1" t="s">
        <v>214</v>
      </c>
      <c r="B34" s="1">
        <f>+NORMSINV(0.975)</f>
        <v>1.959963986</v>
      </c>
      <c r="D34" s="1">
        <v>0.48</v>
      </c>
    </row>
    <row r="35" ht="14.25" customHeight="1">
      <c r="D35" s="1">
        <v>0.62</v>
      </c>
    </row>
    <row r="36" ht="14.25" customHeight="1"/>
    <row r="37" ht="14.25" customHeight="1"/>
    <row r="38" ht="14.25" customHeight="1">
      <c r="A38" s="1" t="s">
        <v>215</v>
      </c>
    </row>
    <row r="39" ht="14.25" customHeight="1"/>
    <row r="40" ht="14.25" customHeight="1"/>
    <row r="41" ht="14.25" customHeight="1"/>
    <row r="42" ht="14.25" customHeight="1">
      <c r="H42" s="1" t="s">
        <v>216</v>
      </c>
    </row>
    <row r="43" ht="14.25" customHeight="1"/>
    <row r="44" ht="14.25" customHeight="1"/>
    <row r="45" ht="14.25" customHeight="1"/>
    <row r="46" ht="14.25" customHeight="1"/>
    <row r="47" ht="14.25" customHeight="1"/>
    <row r="48" ht="14.25" customHeight="1"/>
    <row r="49" ht="14.25" customHeight="1"/>
    <row r="50" ht="14.25" customHeight="1">
      <c r="A50" s="1" t="s">
        <v>194</v>
      </c>
    </row>
    <row r="51" ht="14.25" customHeight="1">
      <c r="A51" s="1" t="s">
        <v>217</v>
      </c>
    </row>
    <row r="52" ht="14.25" customHeight="1"/>
    <row r="53" ht="14.25" customHeight="1">
      <c r="A53" s="15" t="s">
        <v>218</v>
      </c>
    </row>
    <row r="54" ht="14.25" customHeight="1"/>
    <row r="55" ht="14.25" customHeight="1"/>
    <row r="56" ht="14.25" customHeight="1"/>
    <row r="57" ht="14.25" customHeight="1"/>
    <row r="58" ht="14.25" customHeight="1"/>
    <row r="59" ht="14.25" customHeight="1"/>
    <row r="60" ht="14.25" customHeight="1">
      <c r="A60" s="1" t="s">
        <v>219</v>
      </c>
    </row>
    <row r="61" ht="14.25" customHeight="1">
      <c r="A61" s="1" t="s">
        <v>220</v>
      </c>
    </row>
    <row r="62" ht="14.25" customHeight="1">
      <c r="A62" s="1" t="s">
        <v>204</v>
      </c>
    </row>
    <row r="63" ht="14.25" customHeight="1">
      <c r="A63" s="1" t="s">
        <v>205</v>
      </c>
    </row>
    <row r="64" ht="14.25" customHeight="1">
      <c r="A64" s="1" t="s">
        <v>206</v>
      </c>
    </row>
    <row r="65" ht="14.25" customHeight="1">
      <c r="A65" s="1" t="s">
        <v>208</v>
      </c>
    </row>
    <row r="66" ht="14.25" customHeight="1">
      <c r="A66" s="1" t="s">
        <v>52</v>
      </c>
    </row>
    <row r="67" ht="14.25" customHeight="1">
      <c r="A67" s="1" t="s">
        <v>96</v>
      </c>
    </row>
    <row r="68" ht="14.25" customHeight="1">
      <c r="A68" s="1">
        <f>+B34</f>
        <v>1.959963986</v>
      </c>
    </row>
    <row r="69" ht="14.25" customHeight="1"/>
    <row r="70" ht="14.25" customHeight="1">
      <c r="A70" s="1" t="s">
        <v>221</v>
      </c>
    </row>
    <row r="71" ht="14.25" customHeight="1">
      <c r="A71" s="43" t="s">
        <v>222</v>
      </c>
      <c r="B71" s="1">
        <f>+A68</f>
        <v>1.959963986</v>
      </c>
    </row>
    <row r="72" ht="14.25" customHeight="1"/>
    <row r="73" ht="14.25" customHeight="1">
      <c r="A73" s="1" t="s">
        <v>223</v>
      </c>
    </row>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c r="A93" s="1" t="s">
        <v>224</v>
      </c>
    </row>
    <row r="94" ht="14.25" customHeight="1">
      <c r="A94" s="15" t="s">
        <v>218</v>
      </c>
    </row>
    <row r="95" ht="14.25" customHeight="1"/>
    <row r="96" ht="14.25" customHeight="1"/>
    <row r="97" ht="14.25" customHeight="1"/>
    <row r="98" ht="14.25" customHeight="1">
      <c r="A98" s="1" t="s">
        <v>225</v>
      </c>
    </row>
    <row r="99" ht="14.25" customHeight="1">
      <c r="A99" s="1" t="s">
        <v>226</v>
      </c>
    </row>
    <row r="100" ht="14.25" customHeight="1"/>
    <row r="101" ht="14.25" customHeight="1"/>
    <row r="102" ht="14.25" customHeight="1"/>
    <row r="103" ht="14.25" customHeight="1">
      <c r="E103" s="1" t="str">
        <f>2*_xlfn.NORM.S.DIST(-1.13,TRUE)</f>
        <v>#N/A</v>
      </c>
    </row>
    <row r="104" ht="14.25" customHeight="1"/>
    <row r="105" ht="14.25" customHeight="1"/>
    <row r="106" ht="14.25" customHeight="1"/>
    <row r="107" ht="14.25" customHeight="1"/>
    <row r="108" ht="14.25" customHeight="1">
      <c r="A108" s="1" t="s">
        <v>227</v>
      </c>
    </row>
    <row r="109" ht="14.25" customHeight="1">
      <c r="A109" s="1" t="s">
        <v>228</v>
      </c>
    </row>
    <row r="110" ht="14.25" customHeight="1">
      <c r="A110" s="15" t="s">
        <v>218</v>
      </c>
    </row>
    <row r="111" ht="14.25" customHeight="1"/>
    <row r="112" ht="14.25" customHeight="1"/>
    <row r="113" ht="14.25" customHeight="1"/>
    <row r="114" ht="14.25" customHeight="1"/>
    <row r="115" ht="14.25" customHeight="1"/>
    <row r="116" ht="14.25" customHeight="1"/>
    <row r="117" ht="14.25" customHeight="1"/>
    <row r="118" ht="14.25" customHeight="1">
      <c r="A118" s="34" t="s">
        <v>229</v>
      </c>
    </row>
    <row r="119" ht="14.25" customHeight="1"/>
    <row r="120" ht="14.25" customHeight="1"/>
    <row r="121" ht="14.25" customHeight="1"/>
    <row r="122" ht="14.25" customHeight="1">
      <c r="A122" s="1" t="s">
        <v>230</v>
      </c>
    </row>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c r="A132" s="1" t="s">
        <v>231</v>
      </c>
    </row>
    <row r="133" ht="14.25" customHeight="1">
      <c r="A133" s="1" t="s">
        <v>232</v>
      </c>
    </row>
    <row r="134" ht="14.25" customHeight="1">
      <c r="A134" s="1" t="s">
        <v>210</v>
      </c>
      <c r="B134" s="37" t="s">
        <v>211</v>
      </c>
      <c r="C134" s="1" t="s">
        <v>172</v>
      </c>
      <c r="D134" s="37">
        <v>5.0</v>
      </c>
      <c r="E134" s="47" t="s">
        <v>172</v>
      </c>
      <c r="F134" s="1">
        <f>+D134/D135</f>
        <v>0.3333333333</v>
      </c>
    </row>
    <row r="135" ht="14.25" customHeight="1">
      <c r="B135" s="1" t="s">
        <v>212</v>
      </c>
      <c r="D135" s="1">
        <v>15.0</v>
      </c>
    </row>
    <row r="136" ht="14.25" customHeight="1">
      <c r="A136" s="1" t="s">
        <v>233</v>
      </c>
    </row>
    <row r="137" ht="14.25" customHeight="1"/>
    <row r="138" ht="14.25" customHeight="1">
      <c r="A138" s="1" t="s">
        <v>234</v>
      </c>
    </row>
    <row r="139" ht="14.25" customHeight="1"/>
    <row r="140" ht="14.25" customHeight="1">
      <c r="A140" s="1" t="s">
        <v>235</v>
      </c>
    </row>
    <row r="141" ht="14.25" customHeight="1">
      <c r="A141" s="1" t="s">
        <v>236</v>
      </c>
    </row>
    <row r="142" ht="14.25" customHeight="1"/>
    <row r="143" ht="14.25" customHeight="1">
      <c r="A143" s="1" t="s">
        <v>237</v>
      </c>
    </row>
    <row r="144" ht="14.25" customHeight="1"/>
    <row r="145" ht="14.25" customHeight="1"/>
    <row r="146" ht="14.25" customHeight="1"/>
    <row r="147" ht="14.25" customHeight="1"/>
    <row r="148" ht="14.25" customHeight="1"/>
    <row r="149" ht="14.25" customHeight="1">
      <c r="A149" s="1">
        <f>+_xlfn.BINOM.DIST(5,15,0.55,TRUE)</f>
        <v>0.07692871334</v>
      </c>
    </row>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c r="A180" s="1" t="s">
        <v>238</v>
      </c>
    </row>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c r="A197" s="1" t="s">
        <v>239</v>
      </c>
    </row>
    <row r="198" ht="14.25" customHeight="1">
      <c r="A198" s="1" t="s">
        <v>240</v>
      </c>
    </row>
    <row r="199" ht="14.25" customHeight="1">
      <c r="A199" s="1" t="s">
        <v>241</v>
      </c>
    </row>
    <row r="200" ht="14.25" customHeight="1">
      <c r="A200" s="1" t="s">
        <v>242</v>
      </c>
    </row>
    <row r="201" ht="14.25" customHeight="1"/>
    <row r="202" ht="14.25" customHeight="1">
      <c r="B202" s="1" t="s">
        <v>243</v>
      </c>
      <c r="C202" s="1" t="s">
        <v>244</v>
      </c>
    </row>
    <row r="203" ht="14.25" customHeight="1">
      <c r="A203" s="1">
        <v>1.0</v>
      </c>
      <c r="B203" s="13">
        <f t="shared" ref="B203:B207" si="1">+_xlfn.BINOM.DIST(A203,15,0.55,TRUE)</f>
        <v>0.0001214771084</v>
      </c>
    </row>
    <row r="204" ht="14.25" customHeight="1">
      <c r="A204" s="1">
        <v>2.0</v>
      </c>
      <c r="B204" s="13">
        <f t="shared" si="1"/>
        <v>0.001107024147</v>
      </c>
    </row>
    <row r="205" ht="14.25" customHeight="1">
      <c r="A205" s="1">
        <v>3.0</v>
      </c>
      <c r="B205" s="13">
        <f t="shared" si="1"/>
        <v>0.006326773275</v>
      </c>
    </row>
    <row r="206" ht="14.25" customHeight="1">
      <c r="A206" s="1">
        <v>4.0</v>
      </c>
      <c r="B206" s="13">
        <f t="shared" si="1"/>
        <v>0.02546585341</v>
      </c>
    </row>
    <row r="207" ht="14.25" customHeight="1">
      <c r="A207" s="1">
        <v>5.0</v>
      </c>
      <c r="B207" s="13">
        <f t="shared" si="1"/>
        <v>0.07692871334</v>
      </c>
      <c r="D207" s="1" t="s">
        <v>245</v>
      </c>
    </row>
    <row r="208" ht="14.25" customHeight="1">
      <c r="A208" s="1">
        <v>6.0</v>
      </c>
      <c r="C208" s="13">
        <f t="shared" ref="C208:C217" si="2">+_xlfn.BINOM.DIST(A208,15,0.55,TRUE)</f>
        <v>0.181760465</v>
      </c>
    </row>
    <row r="209" ht="14.25" customHeight="1">
      <c r="A209" s="1">
        <v>7.0</v>
      </c>
      <c r="C209" s="13">
        <f t="shared" si="2"/>
        <v>0.3464960749</v>
      </c>
    </row>
    <row r="210" ht="14.25" customHeight="1">
      <c r="A210" s="1">
        <v>8.0</v>
      </c>
      <c r="C210" s="13">
        <f t="shared" si="2"/>
        <v>0.547839598</v>
      </c>
    </row>
    <row r="211" ht="14.25" customHeight="1">
      <c r="A211" s="1">
        <v>9.0</v>
      </c>
      <c r="C211" s="13">
        <f t="shared" si="2"/>
        <v>0.739240231</v>
      </c>
    </row>
    <row r="212" ht="14.25" customHeight="1">
      <c r="A212" s="1">
        <v>10.0</v>
      </c>
      <c r="C212" s="13">
        <f t="shared" si="2"/>
        <v>0.8796006953</v>
      </c>
    </row>
    <row r="213" ht="14.25" customHeight="1">
      <c r="A213" s="1">
        <v>11.0</v>
      </c>
      <c r="C213" s="13">
        <f t="shared" si="2"/>
        <v>0.957578731</v>
      </c>
    </row>
    <row r="214" ht="14.25" customHeight="1">
      <c r="A214" s="1">
        <v>12.0</v>
      </c>
      <c r="C214" s="13">
        <f t="shared" si="2"/>
        <v>0.9893475603</v>
      </c>
    </row>
    <row r="215" ht="14.25" customHeight="1">
      <c r="A215" s="1">
        <v>13.0</v>
      </c>
      <c r="C215" s="13">
        <f t="shared" si="2"/>
        <v>0.9983079994</v>
      </c>
    </row>
    <row r="216" ht="14.25" customHeight="1">
      <c r="A216" s="1">
        <v>14.0</v>
      </c>
      <c r="C216" s="13">
        <f t="shared" si="2"/>
        <v>0.9998725205</v>
      </c>
    </row>
    <row r="217" ht="14.25" customHeight="1">
      <c r="A217" s="1">
        <v>15.0</v>
      </c>
      <c r="C217" s="13">
        <f t="shared" si="2"/>
        <v>1</v>
      </c>
    </row>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c r="A246" s="1" t="s">
        <v>246</v>
      </c>
    </row>
    <row r="247" ht="14.25" customHeight="1">
      <c r="A247" s="1" t="s">
        <v>247</v>
      </c>
    </row>
    <row r="248" ht="14.25" customHeight="1">
      <c r="J248" s="1" t="str">
        <f>+_xlfn.NORM.S.DIST(J250,TRUE)</f>
        <v>#N/A</v>
      </c>
    </row>
    <row r="249" ht="14.25" customHeight="1"/>
    <row r="250" ht="14.25" customHeight="1">
      <c r="J250" s="1">
        <f>+((61.0404-61.5)/(20/SQRT(1000)))</f>
        <v>-0.7266914063</v>
      </c>
    </row>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5">
    <mergeCell ref="A1:H4"/>
    <mergeCell ref="A53:K54"/>
    <mergeCell ref="A94:K95"/>
    <mergeCell ref="A110:K111"/>
    <mergeCell ref="A118:I120"/>
  </mergeCells>
  <printOptions/>
  <pageMargins bottom="0.75" footer="0.0" header="0.0" left="0.7" right="0.7" top="0.75"/>
  <pageSetup paperSize="9"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9.57"/>
    <col customWidth="1" min="2" max="7" width="10.71"/>
    <col customWidth="1" min="8" max="8" width="13.43"/>
    <col customWidth="1" min="9" max="9" width="12.43"/>
    <col customWidth="1" min="10" max="26" width="10.71"/>
  </cols>
  <sheetData>
    <row r="1" ht="14.25" customHeight="1"/>
    <row r="2" ht="14.25" customHeight="1"/>
    <row r="3" ht="14.25" customHeight="1"/>
    <row r="4" ht="14.25" customHeight="1"/>
    <row r="5" ht="14.25" customHeight="1"/>
    <row r="6" ht="14.25" customHeight="1"/>
    <row r="7" ht="14.25" customHeight="1"/>
    <row r="8" ht="14.25" customHeight="1">
      <c r="G8" s="48" t="s">
        <v>248</v>
      </c>
    </row>
    <row r="9" ht="14.25" customHeight="1">
      <c r="A9" s="1" t="s">
        <v>249</v>
      </c>
    </row>
    <row r="10" ht="14.25" customHeight="1">
      <c r="B10" s="22" t="s">
        <v>250</v>
      </c>
    </row>
    <row r="11" ht="14.25" customHeight="1">
      <c r="B11" s="1" t="s">
        <v>251</v>
      </c>
      <c r="C11" s="1" t="s">
        <v>252</v>
      </c>
      <c r="D11" s="1" t="s">
        <v>253</v>
      </c>
      <c r="E11" s="1" t="s">
        <v>254</v>
      </c>
      <c r="G11" s="15" t="s">
        <v>255</v>
      </c>
    </row>
    <row r="12" ht="14.25" customHeight="1">
      <c r="A12" s="1" t="s">
        <v>256</v>
      </c>
      <c r="B12" s="1">
        <v>4.0</v>
      </c>
      <c r="C12" s="1">
        <v>20.0</v>
      </c>
      <c r="D12" s="1">
        <v>26.0</v>
      </c>
      <c r="E12" s="1">
        <f t="shared" ref="E12:E15" si="1">SUM(B12:D12)</f>
        <v>50</v>
      </c>
    </row>
    <row r="13" ht="14.25" customHeight="1">
      <c r="A13" s="1" t="s">
        <v>257</v>
      </c>
      <c r="B13" s="1">
        <v>32.0</v>
      </c>
      <c r="C13" s="1">
        <v>10.0</v>
      </c>
      <c r="D13" s="1">
        <v>8.0</v>
      </c>
      <c r="E13" s="1">
        <f t="shared" si="1"/>
        <v>50</v>
      </c>
    </row>
    <row r="14" ht="14.25" customHeight="1">
      <c r="A14" s="1" t="s">
        <v>258</v>
      </c>
      <c r="B14" s="1">
        <v>41.0</v>
      </c>
      <c r="C14" s="1">
        <v>6.0</v>
      </c>
      <c r="D14" s="1">
        <v>3.0</v>
      </c>
      <c r="E14" s="1">
        <f t="shared" si="1"/>
        <v>50</v>
      </c>
    </row>
    <row r="15" ht="14.25" customHeight="1">
      <c r="A15" s="1" t="s">
        <v>254</v>
      </c>
      <c r="B15" s="1">
        <f t="shared" ref="B15:D15" si="2">SUM(B12:B14)</f>
        <v>77</v>
      </c>
      <c r="C15" s="1">
        <f t="shared" si="2"/>
        <v>36</v>
      </c>
      <c r="D15" s="1">
        <f t="shared" si="2"/>
        <v>37</v>
      </c>
      <c r="E15" s="1">
        <f t="shared" si="1"/>
        <v>150</v>
      </c>
    </row>
    <row r="16" ht="14.25" customHeight="1"/>
    <row r="17" ht="14.25" customHeight="1">
      <c r="G17" s="1" t="s">
        <v>259</v>
      </c>
      <c r="L17" s="1" t="s">
        <v>260</v>
      </c>
    </row>
    <row r="18" ht="14.25" customHeight="1">
      <c r="A18" s="1" t="s">
        <v>261</v>
      </c>
      <c r="B18" s="22" t="s">
        <v>250</v>
      </c>
      <c r="G18" s="1" t="s">
        <v>262</v>
      </c>
      <c r="L18" s="1" t="s">
        <v>263</v>
      </c>
    </row>
    <row r="19" ht="14.25" customHeight="1">
      <c r="A19" s="1" t="s">
        <v>264</v>
      </c>
      <c r="B19" s="1" t="s">
        <v>251</v>
      </c>
      <c r="C19" s="1" t="s">
        <v>252</v>
      </c>
      <c r="D19" s="1" t="s">
        <v>253</v>
      </c>
      <c r="E19" s="1" t="s">
        <v>254</v>
      </c>
    </row>
    <row r="20" ht="14.25" customHeight="1">
      <c r="A20" s="1" t="s">
        <v>256</v>
      </c>
      <c r="B20" s="1">
        <f>+B15*$E$12/$E$15</f>
        <v>25.66666667</v>
      </c>
      <c r="C20" s="1">
        <f t="shared" ref="C20:C22" si="3">+$C$15*E12/$E$15</f>
        <v>12</v>
      </c>
      <c r="D20" s="1">
        <f t="shared" ref="D20:D22" si="4">+$D$15*E12/$E$15</f>
        <v>12.33333333</v>
      </c>
      <c r="E20" s="1">
        <f t="shared" ref="E20:E23" si="5">SUM(B20:D20)</f>
        <v>50</v>
      </c>
    </row>
    <row r="21" ht="14.25" customHeight="1">
      <c r="A21" s="1" t="s">
        <v>257</v>
      </c>
      <c r="B21" s="1">
        <f>+B15*$E$13/$E$15</f>
        <v>25.66666667</v>
      </c>
      <c r="C21" s="1">
        <f t="shared" si="3"/>
        <v>12</v>
      </c>
      <c r="D21" s="1">
        <f t="shared" si="4"/>
        <v>12.33333333</v>
      </c>
      <c r="E21" s="1">
        <f t="shared" si="5"/>
        <v>50</v>
      </c>
      <c r="G21" s="1" t="s">
        <v>265</v>
      </c>
    </row>
    <row r="22" ht="14.25" customHeight="1">
      <c r="A22" s="1" t="s">
        <v>258</v>
      </c>
      <c r="B22" s="1">
        <f>+B15*$E$14/$E$15</f>
        <v>25.66666667</v>
      </c>
      <c r="C22" s="1">
        <f t="shared" si="3"/>
        <v>12</v>
      </c>
      <c r="D22" s="1">
        <f t="shared" si="4"/>
        <v>12.33333333</v>
      </c>
      <c r="E22" s="1">
        <f t="shared" si="5"/>
        <v>50</v>
      </c>
    </row>
    <row r="23" ht="14.25" customHeight="1">
      <c r="A23" s="1" t="s">
        <v>254</v>
      </c>
      <c r="B23" s="1">
        <f t="shared" ref="B23:D23" si="6">SUM(B20:B22)</f>
        <v>77</v>
      </c>
      <c r="C23" s="1">
        <f t="shared" si="6"/>
        <v>36</v>
      </c>
      <c r="D23" s="1">
        <f t="shared" si="6"/>
        <v>37</v>
      </c>
      <c r="E23" s="1">
        <f t="shared" si="5"/>
        <v>150</v>
      </c>
    </row>
    <row r="24" ht="14.25" customHeight="1"/>
    <row r="25" ht="14.25" customHeight="1">
      <c r="A25" s="1" t="s">
        <v>266</v>
      </c>
    </row>
    <row r="26" ht="14.25" customHeight="1">
      <c r="A26" s="1" t="s">
        <v>267</v>
      </c>
    </row>
    <row r="27" ht="14.25" customHeight="1"/>
    <row r="28" ht="14.25" customHeight="1"/>
    <row r="29" ht="14.25" customHeight="1"/>
    <row r="30" ht="14.25" customHeight="1">
      <c r="F30" s="1">
        <f>+_xlfn.CHISQ.INV(0.95,4)</f>
        <v>9.487729037</v>
      </c>
    </row>
    <row r="31" ht="14.25" customHeight="1"/>
    <row r="32" ht="14.25" customHeight="1"/>
    <row r="33" ht="14.25" customHeight="1"/>
    <row r="34" ht="14.25" customHeight="1">
      <c r="A34" s="1" t="s">
        <v>268</v>
      </c>
      <c r="F34" s="1" t="s">
        <v>269</v>
      </c>
    </row>
    <row r="35" ht="14.25" customHeight="1">
      <c r="B35" s="1">
        <f t="shared" ref="B35:D35" si="7">+((B12-B20)^2)/B20</f>
        <v>18.29004329</v>
      </c>
      <c r="C35" s="1">
        <f t="shared" si="7"/>
        <v>5.333333333</v>
      </c>
      <c r="D35" s="1">
        <f t="shared" si="7"/>
        <v>15.14414414</v>
      </c>
    </row>
    <row r="36" ht="14.25" customHeight="1">
      <c r="B36" s="1">
        <f t="shared" ref="B36:D36" si="8">+((B13-B21)^2)/B21</f>
        <v>1.562770563</v>
      </c>
      <c r="C36" s="1">
        <f t="shared" si="8"/>
        <v>0.3333333333</v>
      </c>
      <c r="D36" s="1">
        <f t="shared" si="8"/>
        <v>1.522522523</v>
      </c>
      <c r="F36" s="15" t="s">
        <v>270</v>
      </c>
    </row>
    <row r="37" ht="14.25" customHeight="1">
      <c r="B37" s="1">
        <f t="shared" ref="B37:D37" si="9">+((B14-B22)^2)/B22</f>
        <v>9.16017316</v>
      </c>
      <c r="C37" s="1">
        <f t="shared" si="9"/>
        <v>3</v>
      </c>
      <c r="D37" s="1">
        <f t="shared" si="9"/>
        <v>7.063063063</v>
      </c>
    </row>
    <row r="38" ht="14.25" customHeight="1"/>
    <row r="39" ht="14.25" customHeight="1">
      <c r="B39" s="1">
        <f>SUM(B35:D37)</f>
        <v>61.40938341</v>
      </c>
    </row>
    <row r="40" ht="14.25" customHeight="1">
      <c r="H40" s="1" t="s">
        <v>271</v>
      </c>
    </row>
    <row r="41" ht="14.25" customHeight="1">
      <c r="F41" s="1" t="s">
        <v>272</v>
      </c>
    </row>
    <row r="42" ht="14.25" customHeight="1">
      <c r="F42" s="1" t="s">
        <v>27</v>
      </c>
    </row>
    <row r="43" ht="14.25" customHeight="1">
      <c r="H43" s="49">
        <f>+_xlfn.CHISQ.DIST.RT(B39,4)</f>
        <v>0</v>
      </c>
    </row>
    <row r="44" ht="14.25" customHeight="1"/>
    <row r="45" ht="14.25" customHeight="1"/>
    <row r="46" ht="14.25" customHeight="1"/>
    <row r="47" ht="14.25" customHeight="1">
      <c r="F47" s="1" t="s">
        <v>273</v>
      </c>
    </row>
    <row r="48" ht="14.25" customHeight="1"/>
    <row r="49" ht="14.25" customHeight="1"/>
    <row r="50" ht="14.25" customHeight="1"/>
    <row r="51" ht="14.25" customHeight="1"/>
    <row r="52" ht="14.25" customHeight="1"/>
    <row r="53" ht="14.25" customHeight="1"/>
    <row r="54" ht="14.25" customHeight="1"/>
    <row r="55" ht="14.25" customHeight="1"/>
    <row r="56" ht="14.25" customHeight="1">
      <c r="A56" s="1" t="s">
        <v>274</v>
      </c>
    </row>
    <row r="57" ht="14.25" customHeight="1">
      <c r="B57" s="22" t="s">
        <v>250</v>
      </c>
    </row>
    <row r="58" ht="14.25" customHeight="1">
      <c r="B58" s="1" t="s">
        <v>251</v>
      </c>
      <c r="C58" s="1" t="s">
        <v>252</v>
      </c>
      <c r="D58" s="1" t="s">
        <v>253</v>
      </c>
      <c r="E58" s="1" t="s">
        <v>254</v>
      </c>
    </row>
    <row r="59" ht="14.25" customHeight="1">
      <c r="A59" s="1" t="s">
        <v>256</v>
      </c>
      <c r="B59" s="1">
        <v>4.0</v>
      </c>
      <c r="C59" s="1">
        <v>20.0</v>
      </c>
      <c r="D59" s="1">
        <v>26.0</v>
      </c>
      <c r="E59" s="1">
        <f t="shared" ref="E59:E62" si="10">SUM(B59:D59)</f>
        <v>50</v>
      </c>
    </row>
    <row r="60" ht="14.25" customHeight="1">
      <c r="A60" s="1" t="s">
        <v>257</v>
      </c>
      <c r="B60" s="1">
        <v>32.0</v>
      </c>
      <c r="C60" s="1">
        <v>10.0</v>
      </c>
      <c r="D60" s="1">
        <v>8.0</v>
      </c>
      <c r="E60" s="1">
        <f t="shared" si="10"/>
        <v>50</v>
      </c>
    </row>
    <row r="61" ht="14.25" customHeight="1">
      <c r="A61" s="1" t="s">
        <v>258</v>
      </c>
      <c r="B61" s="1">
        <v>41.0</v>
      </c>
      <c r="C61" s="1">
        <v>6.0</v>
      </c>
      <c r="D61" s="1">
        <v>3.0</v>
      </c>
      <c r="E61" s="1">
        <f t="shared" si="10"/>
        <v>50</v>
      </c>
    </row>
    <row r="62" ht="14.25" customHeight="1">
      <c r="A62" s="1" t="s">
        <v>254</v>
      </c>
      <c r="B62" s="1">
        <f t="shared" ref="B62:D62" si="11">SUM(B59:B61)</f>
        <v>77</v>
      </c>
      <c r="C62" s="1">
        <f t="shared" si="11"/>
        <v>36</v>
      </c>
      <c r="D62" s="1">
        <f t="shared" si="11"/>
        <v>37</v>
      </c>
      <c r="E62" s="1">
        <f t="shared" si="10"/>
        <v>150</v>
      </c>
    </row>
    <row r="63" ht="14.25" customHeight="1"/>
    <row r="64" ht="14.25" customHeight="1"/>
    <row r="65" ht="14.25" customHeight="1">
      <c r="A65" s="1" t="s">
        <v>261</v>
      </c>
      <c r="B65" s="22" t="s">
        <v>250</v>
      </c>
    </row>
    <row r="66" ht="14.25" customHeight="1">
      <c r="A66" s="1" t="s">
        <v>264</v>
      </c>
      <c r="B66" s="1" t="s">
        <v>251</v>
      </c>
      <c r="C66" s="1" t="s">
        <v>252</v>
      </c>
      <c r="D66" s="1" t="s">
        <v>253</v>
      </c>
      <c r="E66" s="1" t="s">
        <v>254</v>
      </c>
    </row>
    <row r="67" ht="14.25" customHeight="1">
      <c r="A67" s="1" t="s">
        <v>256</v>
      </c>
      <c r="B67" s="1">
        <f>+B62*$E$12/$E$15</f>
        <v>25.66666667</v>
      </c>
      <c r="C67" s="1">
        <f t="shared" ref="C67:C69" si="12">+$C$15*E59/$E$15</f>
        <v>12</v>
      </c>
      <c r="D67" s="1">
        <f t="shared" ref="D67:D69" si="13">+$D$15*E59/$E$15</f>
        <v>12.33333333</v>
      </c>
      <c r="E67" s="1">
        <f t="shared" ref="E67:E70" si="14">SUM(B67:D67)</f>
        <v>50</v>
      </c>
    </row>
    <row r="68" ht="14.25" customHeight="1">
      <c r="A68" s="1" t="s">
        <v>257</v>
      </c>
      <c r="B68" s="1">
        <f>+B62*$E$13/$E$15</f>
        <v>25.66666667</v>
      </c>
      <c r="C68" s="1">
        <f t="shared" si="12"/>
        <v>12</v>
      </c>
      <c r="D68" s="1">
        <f t="shared" si="13"/>
        <v>12.33333333</v>
      </c>
      <c r="E68" s="1">
        <f t="shared" si="14"/>
        <v>50</v>
      </c>
    </row>
    <row r="69" ht="14.25" customHeight="1">
      <c r="A69" s="1" t="s">
        <v>258</v>
      </c>
      <c r="B69" s="1">
        <f>+B62*$E$14/$E$15</f>
        <v>25.66666667</v>
      </c>
      <c r="C69" s="1">
        <f t="shared" si="12"/>
        <v>12</v>
      </c>
      <c r="D69" s="1">
        <f t="shared" si="13"/>
        <v>12.33333333</v>
      </c>
      <c r="E69" s="1">
        <f t="shared" si="14"/>
        <v>50</v>
      </c>
      <c r="I69" s="1" t="s">
        <v>271</v>
      </c>
    </row>
    <row r="70" ht="14.25" customHeight="1">
      <c r="A70" s="1" t="s">
        <v>254</v>
      </c>
      <c r="B70" s="1">
        <f t="shared" ref="B70:D70" si="15">SUM(B67:B69)</f>
        <v>77</v>
      </c>
      <c r="C70" s="1">
        <f t="shared" si="15"/>
        <v>36</v>
      </c>
      <c r="D70" s="1">
        <f t="shared" si="15"/>
        <v>37</v>
      </c>
      <c r="E70" s="1">
        <f t="shared" si="14"/>
        <v>150</v>
      </c>
      <c r="G70" s="1" t="s">
        <v>272</v>
      </c>
    </row>
    <row r="71" ht="14.25" customHeight="1">
      <c r="G71" s="1" t="s">
        <v>27</v>
      </c>
    </row>
    <row r="72" ht="14.25" customHeight="1">
      <c r="I72" s="49">
        <f>+_xlfn.CHISQ.DIST.RT(B78,4)</f>
        <v>0</v>
      </c>
    </row>
    <row r="73" ht="14.25" customHeight="1">
      <c r="A73" s="1" t="s">
        <v>274</v>
      </c>
    </row>
    <row r="74" ht="14.25" customHeight="1">
      <c r="B74" s="1">
        <f t="shared" ref="B74:D74" si="16">+B59*LN(B59/B67)</f>
        <v>-7.435595088</v>
      </c>
      <c r="C74" s="1">
        <f t="shared" si="16"/>
        <v>10.21651248</v>
      </c>
      <c r="D74" s="1">
        <f t="shared" si="16"/>
        <v>19.39056377</v>
      </c>
    </row>
    <row r="75" ht="14.25" customHeight="1">
      <c r="B75" s="1">
        <f t="shared" ref="B75:D75" si="17">+B60*LN(B60/B68)</f>
        <v>7.057368628</v>
      </c>
      <c r="C75" s="1">
        <f t="shared" si="17"/>
        <v>-1.823215568</v>
      </c>
      <c r="D75" s="1">
        <f t="shared" si="17"/>
        <v>-3.462912658</v>
      </c>
    </row>
    <row r="76" ht="14.25" customHeight="1">
      <c r="B76" s="1">
        <f t="shared" ref="B76:D76" si="18">+B61*LN(B61/B69)</f>
        <v>19.20353627</v>
      </c>
      <c r="C76" s="1">
        <f t="shared" si="18"/>
        <v>-4.158883083</v>
      </c>
      <c r="D76" s="1">
        <f t="shared" si="18"/>
        <v>-4.241080006</v>
      </c>
      <c r="G76" s="1" t="s">
        <v>273</v>
      </c>
    </row>
    <row r="77" ht="14.25" customHeight="1"/>
    <row r="78" ht="14.25" customHeight="1">
      <c r="B78" s="1">
        <f>2*SUM(B74:D76)</f>
        <v>69.49258948</v>
      </c>
    </row>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c r="A94" s="1" t="s">
        <v>275</v>
      </c>
    </row>
    <row r="95" ht="14.25" customHeight="1"/>
    <row r="96" ht="14.25" customHeight="1">
      <c r="A96" s="15" t="s">
        <v>270</v>
      </c>
    </row>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c r="F111" s="15" t="s">
        <v>276</v>
      </c>
    </row>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c r="D123" s="1" t="s">
        <v>277</v>
      </c>
    </row>
    <row r="124" ht="14.25" customHeight="1">
      <c r="D124" s="1" t="s">
        <v>278</v>
      </c>
    </row>
    <row r="125" ht="14.25" customHeight="1">
      <c r="A125" s="50" t="s">
        <v>279</v>
      </c>
    </row>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c r="A141" s="1" t="s">
        <v>264</v>
      </c>
      <c r="B141" s="1" t="s">
        <v>252</v>
      </c>
      <c r="C141" s="1" t="s">
        <v>280</v>
      </c>
      <c r="D141" s="1" t="s">
        <v>254</v>
      </c>
    </row>
    <row r="142" ht="14.25" customHeight="1">
      <c r="A142" s="1" t="s">
        <v>281</v>
      </c>
      <c r="B142" s="1">
        <v>1.0</v>
      </c>
      <c r="C142" s="1">
        <v>4.0</v>
      </c>
      <c r="D142" s="1">
        <f t="shared" ref="D142:D143" si="19">SUM(B142:C142)</f>
        <v>5</v>
      </c>
    </row>
    <row r="143" ht="14.25" customHeight="1">
      <c r="A143" s="1" t="s">
        <v>282</v>
      </c>
      <c r="B143" s="1">
        <v>3.0</v>
      </c>
      <c r="C143" s="1">
        <v>4.0</v>
      </c>
      <c r="D143" s="1">
        <f t="shared" si="19"/>
        <v>7</v>
      </c>
    </row>
    <row r="144" ht="14.25" customHeight="1">
      <c r="B144" s="1">
        <f t="shared" ref="B144:D144" si="20">SUM(B142:B143)</f>
        <v>4</v>
      </c>
      <c r="C144" s="1">
        <f t="shared" si="20"/>
        <v>8</v>
      </c>
      <c r="D144" s="1">
        <f t="shared" si="20"/>
        <v>12</v>
      </c>
    </row>
    <row r="145" ht="14.25" customHeight="1"/>
    <row r="146" ht="14.25" customHeight="1">
      <c r="A146" s="1" t="s">
        <v>283</v>
      </c>
    </row>
    <row r="147" ht="14.25" customHeight="1">
      <c r="A147" s="1" t="s">
        <v>284</v>
      </c>
    </row>
    <row r="148" ht="14.25" customHeight="1">
      <c r="E148" s="1">
        <f>+C142/D142</f>
        <v>0.8</v>
      </c>
    </row>
    <row r="149" ht="14.25" customHeight="1">
      <c r="E149" s="37">
        <f>(B142)/D142</f>
        <v>0.2</v>
      </c>
      <c r="F149" s="1" t="s">
        <v>285</v>
      </c>
      <c r="G149" s="1">
        <f>+E148/E149</f>
        <v>4</v>
      </c>
      <c r="H149" s="1" t="s">
        <v>285</v>
      </c>
      <c r="I149" s="1" t="str">
        <f>+G149/G150</f>
        <v>#VALUE!</v>
      </c>
    </row>
    <row r="150" ht="14.25" customHeight="1">
      <c r="E150" s="1" t="s">
        <v>174</v>
      </c>
      <c r="G150" s="1" t="str">
        <f>+E150/E151</f>
        <v>#VALUE!</v>
      </c>
    </row>
    <row r="151" ht="14.25" customHeight="1">
      <c r="E151" s="1">
        <f>(B143)/D143</f>
        <v>0.4285714286</v>
      </c>
    </row>
    <row r="152" ht="14.25" customHeight="1"/>
    <row r="153" ht="14.25" customHeight="1"/>
    <row r="154" ht="14.25" customHeight="1">
      <c r="A154" s="1" t="s">
        <v>286</v>
      </c>
    </row>
    <row r="155" ht="14.25" customHeight="1"/>
    <row r="156" ht="14.25" customHeight="1">
      <c r="A156" s="1" t="s">
        <v>287</v>
      </c>
    </row>
    <row r="157" ht="14.25" customHeight="1"/>
    <row r="158" ht="14.25" customHeight="1">
      <c r="F158" s="1">
        <f t="shared" ref="F158:F159" si="21">+C142/D142</f>
        <v>0.8</v>
      </c>
      <c r="G158" s="1">
        <f>+F158/F159</f>
        <v>1.4</v>
      </c>
    </row>
    <row r="159" ht="14.25" customHeight="1">
      <c r="F159" s="1">
        <f t="shared" si="21"/>
        <v>0.5714285714</v>
      </c>
    </row>
    <row r="160" ht="14.25" customHeight="1"/>
    <row r="161" ht="14.25" customHeight="1">
      <c r="A161" s="1" t="s">
        <v>288</v>
      </c>
    </row>
    <row r="162" ht="14.25" customHeight="1"/>
    <row r="163" ht="14.25" customHeight="1"/>
    <row r="164" ht="14.25" customHeight="1"/>
    <row r="165" ht="14.25" customHeight="1">
      <c r="A165" s="1" t="s">
        <v>289</v>
      </c>
    </row>
    <row r="166" ht="14.25" customHeight="1"/>
    <row r="167" ht="14.25" customHeight="1">
      <c r="D167" s="1">
        <f>+C143/C144</f>
        <v>0.5</v>
      </c>
      <c r="F167" s="37">
        <f>+D167/D168</f>
        <v>1</v>
      </c>
      <c r="G167" s="1" t="s">
        <v>172</v>
      </c>
      <c r="H167" s="1">
        <f>+F167/F168</f>
        <v>0.3333333333</v>
      </c>
    </row>
    <row r="168" ht="14.25" customHeight="1">
      <c r="D168" s="37">
        <f>+C142/C144</f>
        <v>0.5</v>
      </c>
      <c r="E168" s="1" t="s">
        <v>172</v>
      </c>
      <c r="F168" s="1">
        <f>+D169/D170</f>
        <v>3</v>
      </c>
    </row>
    <row r="169" ht="14.25" customHeight="1">
      <c r="D169" s="1">
        <f>+B143/B144</f>
        <v>0.75</v>
      </c>
    </row>
    <row r="170" ht="14.25" customHeight="1">
      <c r="D170" s="1">
        <f>+B142/B144</f>
        <v>0.25</v>
      </c>
    </row>
    <row r="171" ht="14.25" customHeight="1"/>
    <row r="172" ht="14.25" customHeight="1"/>
    <row r="173" ht="14.25" customHeight="1"/>
    <row r="174" ht="14.25" customHeight="1"/>
    <row r="175" ht="14.25" customHeight="1"/>
    <row r="176" ht="14.25" customHeight="1">
      <c r="D176" s="1">
        <f>+D167</f>
        <v>0.5</v>
      </c>
      <c r="E176" s="1" t="s">
        <v>172</v>
      </c>
      <c r="F176" s="1">
        <f>+D176/D177</f>
        <v>0.6666666667</v>
      </c>
    </row>
    <row r="177" ht="14.25" customHeight="1">
      <c r="D177" s="1">
        <f>+D169</f>
        <v>0.75</v>
      </c>
    </row>
    <row r="178" ht="14.25" customHeight="1"/>
    <row r="179" ht="14.25" customHeight="1"/>
    <row r="180" ht="14.25" customHeight="1"/>
    <row r="181" ht="14.25" customHeight="1">
      <c r="A181" s="51" t="s">
        <v>290</v>
      </c>
    </row>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8">
    <mergeCell ref="B10:D10"/>
    <mergeCell ref="G11:I15"/>
    <mergeCell ref="B18:D18"/>
    <mergeCell ref="F36:I38"/>
    <mergeCell ref="B57:D57"/>
    <mergeCell ref="B65:D65"/>
    <mergeCell ref="A96:D98"/>
    <mergeCell ref="F111:H114"/>
  </mergeCells>
  <printOptions/>
  <pageMargins bottom="0.75" footer="0.0" header="0.0" left="0.7" right="0.7" top="0.75"/>
  <pageSetup paperSize="9" orientation="portrait"/>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10.71"/>
  </cols>
  <sheetData>
    <row r="1" ht="14.25" customHeight="1"/>
    <row r="2" ht="14.25" customHeight="1"/>
    <row r="3" ht="14.25" customHeight="1"/>
    <row r="4" ht="14.25" customHeight="1"/>
    <row r="5" ht="14.25" customHeight="1"/>
    <row r="6" ht="14.25" customHeight="1"/>
    <row r="7" ht="14.25" customHeight="1"/>
    <row r="8" ht="14.25" customHeight="1"/>
    <row r="9" ht="14.25" customHeight="1"/>
    <row r="10" ht="14.25" customHeight="1"/>
    <row r="11" ht="14.25" customHeight="1"/>
    <row r="12" ht="14.25" customHeight="1"/>
    <row r="13" ht="14.25" customHeight="1"/>
    <row r="14" ht="14.25" customHeight="1"/>
    <row r="15" ht="14.25" customHeight="1"/>
    <row r="16" ht="14.25" customHeight="1">
      <c r="G16" s="1" t="s">
        <v>291</v>
      </c>
    </row>
    <row r="17" ht="14.25" customHeight="1">
      <c r="A17" s="1" t="s">
        <v>292</v>
      </c>
    </row>
    <row r="18" ht="14.25" customHeight="1">
      <c r="A18" s="1" t="s">
        <v>293</v>
      </c>
    </row>
    <row r="19" ht="14.25" customHeight="1"/>
    <row r="20" ht="14.25" customHeight="1"/>
    <row r="21" ht="14.25" customHeight="1"/>
    <row r="22" ht="14.25" customHeight="1">
      <c r="A22" s="1" t="s">
        <v>274</v>
      </c>
    </row>
    <row r="23" ht="14.25" customHeight="1">
      <c r="B23" s="22" t="s">
        <v>250</v>
      </c>
    </row>
    <row r="24" ht="14.25" customHeight="1">
      <c r="C24" s="1" t="s">
        <v>252</v>
      </c>
      <c r="D24" s="1" t="s">
        <v>253</v>
      </c>
      <c r="E24" s="1" t="s">
        <v>254</v>
      </c>
    </row>
    <row r="25" ht="14.25" customHeight="1">
      <c r="A25" s="1" t="s">
        <v>256</v>
      </c>
      <c r="C25" s="1">
        <v>1.0</v>
      </c>
      <c r="D25" s="1">
        <v>4.0</v>
      </c>
      <c r="E25" s="1">
        <f t="shared" ref="E25:E27" si="1">SUM(B25:D25)</f>
        <v>5</v>
      </c>
    </row>
    <row r="26" ht="14.25" customHeight="1">
      <c r="A26" s="1" t="s">
        <v>257</v>
      </c>
      <c r="C26" s="1">
        <v>3.0</v>
      </c>
      <c r="D26" s="1">
        <v>4.0</v>
      </c>
      <c r="E26" s="1">
        <f t="shared" si="1"/>
        <v>7</v>
      </c>
    </row>
    <row r="27" ht="14.25" customHeight="1">
      <c r="A27" s="1" t="s">
        <v>254</v>
      </c>
      <c r="C27" s="1" t="str">
        <f t="shared" ref="C27:D27" si="2">SUM(C25:C27)</f>
        <v>#REF!</v>
      </c>
      <c r="D27" s="1" t="str">
        <f t="shared" si="2"/>
        <v>#REF!</v>
      </c>
      <c r="E27" s="1" t="str">
        <f t="shared" si="1"/>
        <v>#REF!</v>
      </c>
    </row>
    <row r="28" ht="14.25" customHeight="1"/>
    <row r="29" ht="14.25" customHeight="1">
      <c r="D29" s="1" t="s">
        <v>294</v>
      </c>
      <c r="F29" s="1" t="s">
        <v>295</v>
      </c>
    </row>
    <row r="30" ht="14.25" customHeight="1"/>
    <row r="31" ht="14.25" customHeight="1">
      <c r="A31" s="52">
        <v>0.0</v>
      </c>
      <c r="B31" s="53">
        <v>5.0</v>
      </c>
      <c r="C31" s="54">
        <f t="shared" ref="C31:C32" si="3">SUM(A31:B31)</f>
        <v>5</v>
      </c>
      <c r="D31" s="2">
        <f>+(COMBIN(A33,A31)*COMBIN(B33,B31))/COMBIN(12,C31)</f>
        <v>0.07070707071</v>
      </c>
      <c r="F31" s="1" t="s">
        <v>148</v>
      </c>
    </row>
    <row r="32" ht="14.25" customHeight="1">
      <c r="A32" s="55">
        <v>4.0</v>
      </c>
      <c r="B32" s="56">
        <v>3.0</v>
      </c>
      <c r="C32" s="57">
        <f t="shared" si="3"/>
        <v>7</v>
      </c>
      <c r="D32" s="2"/>
      <c r="F32" s="2">
        <f>+D35+D31+D43+D47</f>
        <v>0.5757575758</v>
      </c>
    </row>
    <row r="33" ht="14.25" customHeight="1">
      <c r="A33" s="58">
        <f t="shared" ref="A33:B33" si="4">SUM(A31:A32)</f>
        <v>4</v>
      </c>
      <c r="B33" s="59">
        <f t="shared" si="4"/>
        <v>8</v>
      </c>
      <c r="C33" s="60"/>
      <c r="D33" s="2"/>
    </row>
    <row r="34" ht="14.25" customHeight="1">
      <c r="D34" s="2"/>
    </row>
    <row r="35" ht="14.25" customHeight="1">
      <c r="A35" s="61">
        <v>1.0</v>
      </c>
      <c r="B35" s="62">
        <v>4.0</v>
      </c>
      <c r="C35" s="63">
        <f t="shared" ref="C35:C36" si="5">SUM(A35:B35)</f>
        <v>5</v>
      </c>
      <c r="D35" s="64">
        <f>+(COMBIN(A37,A35)*COMBIN(B37,B35))/COMBIN(12,C35)</f>
        <v>0.3535353535</v>
      </c>
      <c r="F35" s="1" t="s">
        <v>296</v>
      </c>
    </row>
    <row r="36" ht="14.25" customHeight="1">
      <c r="A36" s="65">
        <v>3.0</v>
      </c>
      <c r="B36" s="66">
        <v>4.0</v>
      </c>
      <c r="C36" s="67">
        <f t="shared" si="5"/>
        <v>7</v>
      </c>
      <c r="D36" s="2"/>
    </row>
    <row r="37" ht="14.25" customHeight="1">
      <c r="A37" s="68">
        <f t="shared" ref="A37:B37" si="6">SUM(A35:A36)</f>
        <v>4</v>
      </c>
      <c r="B37" s="69">
        <f t="shared" si="6"/>
        <v>8</v>
      </c>
      <c r="C37" s="70"/>
      <c r="D37" s="2"/>
      <c r="F37" s="30" t="s">
        <v>297</v>
      </c>
    </row>
    <row r="38" ht="14.25" customHeight="1">
      <c r="D38" s="2"/>
    </row>
    <row r="39" ht="14.25" customHeight="1">
      <c r="A39" s="52">
        <v>2.0</v>
      </c>
      <c r="B39" s="53">
        <v>3.0</v>
      </c>
      <c r="C39" s="54">
        <f t="shared" ref="C39:C40" si="7">SUM(A39:B39)</f>
        <v>5</v>
      </c>
      <c r="D39" s="2">
        <f>+(COMBIN(A41,A39)*COMBIN(B41,B39))/COMBIN(12,C39)</f>
        <v>0.4242424242</v>
      </c>
    </row>
    <row r="40" ht="14.25" customHeight="1">
      <c r="A40" s="55">
        <v>2.0</v>
      </c>
      <c r="B40" s="56">
        <v>5.0</v>
      </c>
      <c r="C40" s="57">
        <f t="shared" si="7"/>
        <v>7</v>
      </c>
      <c r="D40" s="2"/>
    </row>
    <row r="41" ht="14.25" customHeight="1">
      <c r="A41" s="58">
        <f t="shared" ref="A41:B41" si="8">SUM(A39:A40)</f>
        <v>4</v>
      </c>
      <c r="B41" s="59">
        <f t="shared" si="8"/>
        <v>8</v>
      </c>
      <c r="C41" s="60"/>
      <c r="D41" s="2"/>
    </row>
    <row r="42" ht="14.25" customHeight="1">
      <c r="D42" s="2"/>
      <c r="F42" s="47"/>
    </row>
    <row r="43" ht="14.25" customHeight="1">
      <c r="A43" s="52">
        <v>3.0</v>
      </c>
      <c r="B43" s="53">
        <v>2.0</v>
      </c>
      <c r="C43" s="54">
        <f t="shared" ref="C43:C44" si="9">SUM(A43:B43)</f>
        <v>5</v>
      </c>
      <c r="D43" s="2">
        <f>+(COMBIN(A45,A43)*COMBIN(B45,B43))/COMBIN(12,C43)</f>
        <v>0.1414141414</v>
      </c>
    </row>
    <row r="44" ht="14.25" customHeight="1">
      <c r="A44" s="55">
        <v>1.0</v>
      </c>
      <c r="B44" s="56">
        <v>6.0</v>
      </c>
      <c r="C44" s="57">
        <f t="shared" si="9"/>
        <v>7</v>
      </c>
      <c r="D44" s="2"/>
    </row>
    <row r="45" ht="14.25" customHeight="1">
      <c r="A45" s="58">
        <f t="shared" ref="A45:B45" si="10">SUM(A43:A44)</f>
        <v>4</v>
      </c>
      <c r="B45" s="59">
        <f t="shared" si="10"/>
        <v>8</v>
      </c>
      <c r="C45" s="60"/>
      <c r="D45" s="2"/>
    </row>
    <row r="46" ht="14.25" customHeight="1">
      <c r="D46" s="2"/>
    </row>
    <row r="47" ht="14.25" customHeight="1">
      <c r="A47" s="52">
        <v>4.0</v>
      </c>
      <c r="B47" s="53">
        <v>1.0</v>
      </c>
      <c r="C47" s="54">
        <f t="shared" ref="C47:C48" si="11">SUM(A47:B47)</f>
        <v>5</v>
      </c>
      <c r="D47" s="2">
        <f>+(COMBIN(A49,A47)*COMBIN(B49,B47))/COMBIN(12,C47)</f>
        <v>0.0101010101</v>
      </c>
    </row>
    <row r="48" ht="14.25" customHeight="1">
      <c r="A48" s="55">
        <v>0.0</v>
      </c>
      <c r="B48" s="56">
        <v>7.0</v>
      </c>
      <c r="C48" s="57">
        <f t="shared" si="11"/>
        <v>7</v>
      </c>
      <c r="D48" s="2"/>
    </row>
    <row r="49" ht="14.25" customHeight="1">
      <c r="A49" s="58">
        <f t="shared" ref="A49:B49" si="12">SUM(A47:A48)</f>
        <v>4</v>
      </c>
      <c r="B49" s="59">
        <f t="shared" si="12"/>
        <v>8</v>
      </c>
      <c r="C49" s="60"/>
    </row>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c r="A70" s="51" t="s">
        <v>298</v>
      </c>
    </row>
    <row r="71" ht="14.25" customHeight="1"/>
    <row r="72" ht="14.25" customHeight="1">
      <c r="A72" s="22"/>
      <c r="B72" s="22"/>
      <c r="C72" s="22"/>
      <c r="D72" s="22"/>
      <c r="E72" s="22"/>
      <c r="F72" s="22"/>
      <c r="G72" s="22"/>
      <c r="H72" s="22"/>
      <c r="I72" s="22"/>
      <c r="J72" s="22"/>
      <c r="K72" s="22"/>
      <c r="L72" s="22"/>
    </row>
    <row r="73" ht="14.25" customHeight="1">
      <c r="A73" s="22"/>
      <c r="B73" s="22" t="s">
        <v>299</v>
      </c>
      <c r="C73" s="22" t="s">
        <v>300</v>
      </c>
      <c r="D73" s="22" t="s">
        <v>301</v>
      </c>
      <c r="E73" s="22" t="s">
        <v>302</v>
      </c>
      <c r="F73" s="22" t="s">
        <v>303</v>
      </c>
      <c r="G73" s="22" t="s">
        <v>304</v>
      </c>
      <c r="H73" s="22" t="s">
        <v>305</v>
      </c>
      <c r="I73" s="22" t="s">
        <v>306</v>
      </c>
      <c r="J73" s="22" t="s">
        <v>307</v>
      </c>
      <c r="K73" s="22" t="s">
        <v>308</v>
      </c>
    </row>
    <row r="74" ht="14.25" customHeight="1">
      <c r="A74" s="22"/>
      <c r="B74" s="22">
        <v>49.0</v>
      </c>
      <c r="C74" s="22">
        <v>22.0</v>
      </c>
      <c r="D74" s="22">
        <f t="shared" ref="D74:E74" si="13">+B74*B74</f>
        <v>2401</v>
      </c>
      <c r="E74" s="22">
        <f t="shared" si="13"/>
        <v>484</v>
      </c>
      <c r="F74" s="22">
        <f t="shared" ref="F74:F82" si="15">+C74*B74</f>
        <v>1078</v>
      </c>
      <c r="G74" s="13">
        <f t="shared" ref="G74:G82" si="16">+B74-$B$87</f>
        <v>-35.66666667</v>
      </c>
      <c r="H74" s="13">
        <f t="shared" ref="H74:H82" si="17">+G74*G74</f>
        <v>1272.111111</v>
      </c>
      <c r="I74" s="13">
        <f t="shared" ref="I74:I82" si="18">+C74-$B$88</f>
        <v>-4.222222222</v>
      </c>
      <c r="J74" s="13">
        <f t="shared" ref="J74:J82" si="19">+I74*I74</f>
        <v>17.82716049</v>
      </c>
      <c r="K74" s="13">
        <f t="shared" ref="K74:K82" si="20">+G74*I74</f>
        <v>150.5925926</v>
      </c>
      <c r="L74" s="22"/>
    </row>
    <row r="75" ht="14.25" customHeight="1">
      <c r="A75" s="22"/>
      <c r="B75" s="22">
        <v>66.0</v>
      </c>
      <c r="C75" s="22">
        <v>26.0</v>
      </c>
      <c r="D75" s="22">
        <f t="shared" ref="D75:E75" si="14">+B75*B75</f>
        <v>4356</v>
      </c>
      <c r="E75" s="22">
        <f t="shared" si="14"/>
        <v>676</v>
      </c>
      <c r="F75" s="22">
        <f t="shared" si="15"/>
        <v>1716</v>
      </c>
      <c r="G75" s="13">
        <f t="shared" si="16"/>
        <v>-18.66666667</v>
      </c>
      <c r="H75" s="13">
        <f t="shared" si="17"/>
        <v>348.4444444</v>
      </c>
      <c r="I75" s="13">
        <f t="shared" si="18"/>
        <v>-0.2222222222</v>
      </c>
      <c r="J75" s="13">
        <f t="shared" si="19"/>
        <v>0.04938271605</v>
      </c>
      <c r="K75" s="13">
        <f t="shared" si="20"/>
        <v>4.148148148</v>
      </c>
      <c r="L75" s="22"/>
    </row>
    <row r="76" ht="14.25" customHeight="1">
      <c r="A76" s="22"/>
      <c r="B76" s="22">
        <v>67.0</v>
      </c>
      <c r="C76" s="22">
        <v>21.0</v>
      </c>
      <c r="D76" s="22">
        <f t="shared" ref="D76:E76" si="21">+B76*B76</f>
        <v>4489</v>
      </c>
      <c r="E76" s="22">
        <f t="shared" si="21"/>
        <v>441</v>
      </c>
      <c r="F76" s="22">
        <f t="shared" si="15"/>
        <v>1407</v>
      </c>
      <c r="G76" s="13">
        <f t="shared" si="16"/>
        <v>-17.66666667</v>
      </c>
      <c r="H76" s="13">
        <f t="shared" si="17"/>
        <v>312.1111111</v>
      </c>
      <c r="I76" s="13">
        <f t="shared" si="18"/>
        <v>-5.222222222</v>
      </c>
      <c r="J76" s="13">
        <f t="shared" si="19"/>
        <v>27.27160494</v>
      </c>
      <c r="K76" s="13">
        <f t="shared" si="20"/>
        <v>92.25925926</v>
      </c>
      <c r="L76" s="22"/>
    </row>
    <row r="77" ht="14.25" customHeight="1">
      <c r="A77" s="22"/>
      <c r="B77" s="22">
        <v>78.0</v>
      </c>
      <c r="C77" s="22">
        <v>25.0</v>
      </c>
      <c r="D77" s="22">
        <f t="shared" ref="D77:E77" si="22">+B77*B77</f>
        <v>6084</v>
      </c>
      <c r="E77" s="22">
        <f t="shared" si="22"/>
        <v>625</v>
      </c>
      <c r="F77" s="22">
        <f t="shared" si="15"/>
        <v>1950</v>
      </c>
      <c r="G77" s="13">
        <f t="shared" si="16"/>
        <v>-6.666666667</v>
      </c>
      <c r="H77" s="13">
        <f t="shared" si="17"/>
        <v>44.44444444</v>
      </c>
      <c r="I77" s="13">
        <f t="shared" si="18"/>
        <v>-1.222222222</v>
      </c>
      <c r="J77" s="13">
        <f t="shared" si="19"/>
        <v>1.49382716</v>
      </c>
      <c r="K77" s="13">
        <f t="shared" si="20"/>
        <v>8.148148148</v>
      </c>
      <c r="L77" s="22"/>
    </row>
    <row r="78" ht="14.25" customHeight="1">
      <c r="A78" s="22"/>
      <c r="B78" s="22">
        <v>89.0</v>
      </c>
      <c r="C78" s="22">
        <v>25.0</v>
      </c>
      <c r="D78" s="22">
        <f t="shared" ref="D78:E78" si="23">+B78*B78</f>
        <v>7921</v>
      </c>
      <c r="E78" s="22">
        <f t="shared" si="23"/>
        <v>625</v>
      </c>
      <c r="F78" s="22">
        <f t="shared" si="15"/>
        <v>2225</v>
      </c>
      <c r="G78" s="13">
        <f t="shared" si="16"/>
        <v>4.333333333</v>
      </c>
      <c r="H78" s="13">
        <f t="shared" si="17"/>
        <v>18.77777778</v>
      </c>
      <c r="I78" s="13">
        <f t="shared" si="18"/>
        <v>-1.222222222</v>
      </c>
      <c r="J78" s="13">
        <f t="shared" si="19"/>
        <v>1.49382716</v>
      </c>
      <c r="K78" s="13">
        <f t="shared" si="20"/>
        <v>-5.296296296</v>
      </c>
      <c r="L78" s="22"/>
    </row>
    <row r="79" ht="14.25" customHeight="1">
      <c r="A79" s="22"/>
      <c r="B79" s="22">
        <v>96.0</v>
      </c>
      <c r="C79" s="22">
        <v>29.0</v>
      </c>
      <c r="D79" s="22">
        <f t="shared" ref="D79:E79" si="24">+B79*B79</f>
        <v>9216</v>
      </c>
      <c r="E79" s="22">
        <f t="shared" si="24"/>
        <v>841</v>
      </c>
      <c r="F79" s="22">
        <f t="shared" si="15"/>
        <v>2784</v>
      </c>
      <c r="G79" s="13">
        <f t="shared" si="16"/>
        <v>11.33333333</v>
      </c>
      <c r="H79" s="13">
        <f t="shared" si="17"/>
        <v>128.4444444</v>
      </c>
      <c r="I79" s="13">
        <f t="shared" si="18"/>
        <v>2.777777778</v>
      </c>
      <c r="J79" s="13">
        <f t="shared" si="19"/>
        <v>7.716049383</v>
      </c>
      <c r="K79" s="13">
        <f t="shared" si="20"/>
        <v>31.48148148</v>
      </c>
      <c r="L79" s="22"/>
    </row>
    <row r="80" ht="14.25" customHeight="1">
      <c r="A80" s="22"/>
      <c r="B80" s="22">
        <v>100.0</v>
      </c>
      <c r="C80" s="22">
        <v>27.0</v>
      </c>
      <c r="D80" s="22">
        <f t="shared" ref="D80:E80" si="25">+B80*B80</f>
        <v>10000</v>
      </c>
      <c r="E80" s="22">
        <f t="shared" si="25"/>
        <v>729</v>
      </c>
      <c r="F80" s="22">
        <f t="shared" si="15"/>
        <v>2700</v>
      </c>
      <c r="G80" s="13">
        <f t="shared" si="16"/>
        <v>15.33333333</v>
      </c>
      <c r="H80" s="13">
        <f t="shared" si="17"/>
        <v>235.1111111</v>
      </c>
      <c r="I80" s="13">
        <f t="shared" si="18"/>
        <v>0.7777777778</v>
      </c>
      <c r="J80" s="13">
        <f t="shared" si="19"/>
        <v>0.6049382716</v>
      </c>
      <c r="K80" s="13">
        <f t="shared" si="20"/>
        <v>11.92592593</v>
      </c>
      <c r="L80" s="22"/>
    </row>
    <row r="81" ht="14.25" customHeight="1">
      <c r="A81" s="22"/>
      <c r="B81" s="22">
        <v>107.0</v>
      </c>
      <c r="C81" s="22">
        <v>32.0</v>
      </c>
      <c r="D81" s="22">
        <f t="shared" ref="D81:E81" si="26">+B81*B81</f>
        <v>11449</v>
      </c>
      <c r="E81" s="22">
        <f t="shared" si="26"/>
        <v>1024</v>
      </c>
      <c r="F81" s="22">
        <f t="shared" si="15"/>
        <v>3424</v>
      </c>
      <c r="G81" s="13">
        <f t="shared" si="16"/>
        <v>22.33333333</v>
      </c>
      <c r="H81" s="13">
        <f t="shared" si="17"/>
        <v>498.7777778</v>
      </c>
      <c r="I81" s="13">
        <f t="shared" si="18"/>
        <v>5.777777778</v>
      </c>
      <c r="J81" s="13">
        <f t="shared" si="19"/>
        <v>33.38271605</v>
      </c>
      <c r="K81" s="13">
        <f t="shared" si="20"/>
        <v>129.037037</v>
      </c>
      <c r="L81" s="22"/>
    </row>
    <row r="82" ht="14.25" customHeight="1">
      <c r="A82" s="22"/>
      <c r="B82" s="71">
        <v>110.0</v>
      </c>
      <c r="C82" s="71">
        <v>29.0</v>
      </c>
      <c r="D82" s="71">
        <f t="shared" ref="D82:E82" si="27">+B82*B82</f>
        <v>12100</v>
      </c>
      <c r="E82" s="71">
        <f t="shared" si="27"/>
        <v>841</v>
      </c>
      <c r="F82" s="71">
        <f t="shared" si="15"/>
        <v>3190</v>
      </c>
      <c r="G82" s="72">
        <f t="shared" si="16"/>
        <v>25.33333333</v>
      </c>
      <c r="H82" s="72">
        <f t="shared" si="17"/>
        <v>641.7777778</v>
      </c>
      <c r="I82" s="72">
        <f t="shared" si="18"/>
        <v>2.777777778</v>
      </c>
      <c r="J82" s="72">
        <f t="shared" si="19"/>
        <v>7.716049383</v>
      </c>
      <c r="K82" s="72">
        <f t="shared" si="20"/>
        <v>70.37037037</v>
      </c>
      <c r="L82" s="71"/>
    </row>
    <row r="83" ht="14.25" customHeight="1">
      <c r="A83" s="73" t="s">
        <v>254</v>
      </c>
      <c r="B83" s="73">
        <f t="shared" ref="B83:F83" si="28">SUM(B74:B82)</f>
        <v>762</v>
      </c>
      <c r="C83" s="73">
        <f t="shared" si="28"/>
        <v>236</v>
      </c>
      <c r="D83" s="73">
        <f t="shared" si="28"/>
        <v>68016</v>
      </c>
      <c r="E83" s="73">
        <f t="shared" si="28"/>
        <v>6286</v>
      </c>
      <c r="F83" s="73">
        <f t="shared" si="28"/>
        <v>20474</v>
      </c>
      <c r="G83" s="73"/>
      <c r="H83" s="74">
        <f>SUM(H74:H82)</f>
        <v>3500</v>
      </c>
      <c r="I83" s="73"/>
      <c r="J83" s="74">
        <f t="shared" ref="J83:K83" si="29">SUM(J74:J82)</f>
        <v>97.55555556</v>
      </c>
      <c r="K83" s="74">
        <f t="shared" si="29"/>
        <v>492.6666667</v>
      </c>
      <c r="L83" s="22"/>
    </row>
    <row r="84" ht="14.25" customHeight="1">
      <c r="A84" s="22"/>
      <c r="B84" s="22" t="s">
        <v>309</v>
      </c>
      <c r="C84" s="22" t="s">
        <v>310</v>
      </c>
      <c r="D84" s="22" t="s">
        <v>311</v>
      </c>
      <c r="E84" s="22" t="s">
        <v>312</v>
      </c>
      <c r="F84" s="22"/>
      <c r="G84" s="22"/>
      <c r="H84" s="22" t="s">
        <v>313</v>
      </c>
      <c r="I84" s="22"/>
      <c r="J84" s="22" t="s">
        <v>314</v>
      </c>
      <c r="K84" s="22" t="s">
        <v>315</v>
      </c>
    </row>
    <row r="85" ht="14.25" customHeight="1">
      <c r="A85" s="22" t="s">
        <v>91</v>
      </c>
      <c r="L85" s="22"/>
    </row>
    <row r="86" ht="14.25" customHeight="1">
      <c r="A86" s="22">
        <v>9.0</v>
      </c>
      <c r="B86" s="22"/>
      <c r="C86" s="22"/>
      <c r="D86" s="22"/>
      <c r="E86" s="22"/>
      <c r="F86" s="22"/>
      <c r="G86" s="22"/>
      <c r="H86" s="22"/>
      <c r="I86" s="22"/>
      <c r="J86" s="22"/>
      <c r="K86" s="22"/>
      <c r="L86" s="22"/>
    </row>
    <row r="87" ht="14.25" customHeight="1">
      <c r="A87" s="22" t="s">
        <v>316</v>
      </c>
      <c r="B87" s="13">
        <f>+AVERAGE(B74:B82)</f>
        <v>84.66666667</v>
      </c>
      <c r="C87" s="22"/>
      <c r="D87" s="22"/>
      <c r="E87" s="22"/>
      <c r="F87" s="22"/>
      <c r="G87" s="22"/>
      <c r="H87" s="22"/>
      <c r="I87" s="22"/>
      <c r="J87" s="22"/>
      <c r="K87" s="22"/>
      <c r="L87" s="22"/>
    </row>
    <row r="88" ht="14.25" customHeight="1">
      <c r="A88" s="22" t="s">
        <v>317</v>
      </c>
      <c r="B88" s="13">
        <f>+AVERAGE(C74:C82)</f>
        <v>26.22222222</v>
      </c>
      <c r="C88" s="22"/>
      <c r="D88" s="22"/>
      <c r="E88" s="22"/>
      <c r="F88" s="22"/>
      <c r="G88" s="22"/>
      <c r="H88" s="22"/>
      <c r="I88" s="22"/>
      <c r="J88" s="22"/>
      <c r="K88" s="22"/>
      <c r="L88" s="22"/>
    </row>
    <row r="89" ht="14.25" customHeight="1">
      <c r="A89" s="22"/>
      <c r="B89" s="22"/>
      <c r="C89" s="22"/>
      <c r="D89" s="22"/>
      <c r="E89" s="22"/>
      <c r="F89" s="22"/>
      <c r="G89" s="22"/>
      <c r="H89" s="22"/>
      <c r="I89" s="22"/>
      <c r="J89" s="22"/>
      <c r="K89" s="22"/>
      <c r="L89" s="22"/>
    </row>
    <row r="90" ht="14.25" customHeight="1"/>
    <row r="91" ht="14.25" customHeight="1">
      <c r="A91" s="1" t="s">
        <v>318</v>
      </c>
      <c r="B91" s="1">
        <f>+A86*F83-B83*C83</f>
        <v>4434</v>
      </c>
      <c r="D91" s="1" t="s">
        <v>30</v>
      </c>
      <c r="E91" s="33">
        <f>+K83</f>
        <v>492.6666667</v>
      </c>
      <c r="G91" s="1" t="s">
        <v>319</v>
      </c>
      <c r="H91" s="1">
        <f>+_xlfn.COVARIANCE.S(B74:B82,C74:C82)</f>
        <v>61.58333333</v>
      </c>
    </row>
    <row r="92" ht="14.25" customHeight="1">
      <c r="A92" s="22" t="s">
        <v>320</v>
      </c>
      <c r="B92" s="1">
        <f>+A86*D83-B83*B83</f>
        <v>31500</v>
      </c>
      <c r="D92" s="1" t="s">
        <v>321</v>
      </c>
      <c r="E92" s="1">
        <f>+SQRT(J83*H83)</f>
        <v>584.3324777</v>
      </c>
      <c r="G92" s="1" t="s">
        <v>322</v>
      </c>
      <c r="H92" s="1">
        <f>+_xlfn.STDEV.S(B74:B82)</f>
        <v>20.91650066</v>
      </c>
    </row>
    <row r="93" ht="14.25" customHeight="1">
      <c r="A93" s="22" t="s">
        <v>323</v>
      </c>
      <c r="B93" s="1">
        <f>+A86*E83-C83*C83</f>
        <v>878</v>
      </c>
      <c r="G93" s="1" t="s">
        <v>324</v>
      </c>
      <c r="H93" s="1">
        <f>+_xlfn.STDEV.S(C74:C82)</f>
        <v>3.492054473</v>
      </c>
    </row>
    <row r="94" ht="14.25" customHeight="1"/>
    <row r="95" ht="14.25" customHeight="1">
      <c r="A95" s="1" t="s">
        <v>325</v>
      </c>
      <c r="B95" s="75">
        <f>+B91/SQRT(B92*B93)</f>
        <v>0.8431273042</v>
      </c>
      <c r="D95" s="1" t="s">
        <v>325</v>
      </c>
      <c r="E95" s="1">
        <f>+E91/E92</f>
        <v>0.8431273042</v>
      </c>
      <c r="G95" s="1" t="s">
        <v>325</v>
      </c>
      <c r="H95" s="75">
        <f>+CORREL(B74:B82,C74:C82)</f>
        <v>0.8431273042</v>
      </c>
    </row>
    <row r="96" ht="14.25" customHeight="1">
      <c r="H96" s="1">
        <f>+H91/(H92*H93)</f>
        <v>0.8431273042</v>
      </c>
    </row>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4">
    <mergeCell ref="B23:D23"/>
    <mergeCell ref="F37:I40"/>
    <mergeCell ref="K73:L73"/>
    <mergeCell ref="K84:L84"/>
  </mergeCells>
  <printOptions/>
  <pageMargins bottom="0.75" footer="0.0" header="0.0" left="0.7" right="0.7" top="0.75"/>
  <pageSetup paperSize="9" orientation="portrait"/>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71"/>
    <col customWidth="1" min="2" max="2" width="11.57"/>
    <col customWidth="1" min="3" max="4" width="10.71"/>
    <col customWidth="1" min="5" max="5" width="21.71"/>
    <col customWidth="1" min="6" max="6" width="16.71"/>
    <col customWidth="1" min="7" max="7" width="20.29"/>
    <col customWidth="1" min="8" max="8" width="14.71"/>
    <col customWidth="1" min="9" max="26" width="10.71"/>
  </cols>
  <sheetData>
    <row r="1" ht="14.25" customHeight="1">
      <c r="A1" s="1" t="s">
        <v>326</v>
      </c>
    </row>
    <row r="2" ht="14.25" customHeight="1"/>
    <row r="3" ht="14.25" customHeight="1">
      <c r="B3" s="15" t="s">
        <v>327</v>
      </c>
    </row>
    <row r="4" ht="14.25" customHeight="1"/>
    <row r="5" ht="14.25" customHeight="1">
      <c r="A5" s="1" t="s">
        <v>328</v>
      </c>
      <c r="B5" s="1" t="s">
        <v>211</v>
      </c>
      <c r="C5" s="1" t="s">
        <v>32</v>
      </c>
      <c r="D5" s="1" t="s">
        <v>303</v>
      </c>
      <c r="E5" s="22" t="s">
        <v>329</v>
      </c>
      <c r="F5" s="22" t="s">
        <v>330</v>
      </c>
      <c r="G5" s="22" t="s">
        <v>331</v>
      </c>
      <c r="H5" s="22" t="s">
        <v>332</v>
      </c>
      <c r="I5" s="22" t="s">
        <v>333</v>
      </c>
      <c r="J5" s="22"/>
    </row>
    <row r="6" ht="14.25" customHeight="1">
      <c r="A6" s="1">
        <v>1339.0</v>
      </c>
      <c r="B6" s="1">
        <v>86.0</v>
      </c>
      <c r="C6" s="1">
        <v>5.3</v>
      </c>
      <c r="D6" s="1">
        <f t="shared" ref="D6:D16" si="1">+B6*C6</f>
        <v>455.8</v>
      </c>
      <c r="E6" s="76">
        <f t="shared" ref="E6:E16" si="2">+B6-$B$18</f>
        <v>-39.54545455</v>
      </c>
      <c r="F6" s="1">
        <f t="shared" ref="F6:F16" si="3">+E6*E6</f>
        <v>1563.842975</v>
      </c>
      <c r="G6" s="77">
        <f t="shared" ref="G6:G16" si="4">+C6-$C$18</f>
        <v>-0.8909090909</v>
      </c>
      <c r="H6" s="1">
        <f t="shared" ref="H6:H16" si="5">+G6*G6</f>
        <v>0.7937190083</v>
      </c>
      <c r="I6" s="1">
        <f t="shared" ref="I6:I16" si="6">+E6*G6</f>
        <v>35.23140496</v>
      </c>
    </row>
    <row r="7" ht="14.25" customHeight="1">
      <c r="A7" s="1">
        <v>1329.0</v>
      </c>
      <c r="B7" s="1">
        <v>88.0</v>
      </c>
      <c r="C7" s="1">
        <v>4.5</v>
      </c>
      <c r="D7" s="1">
        <f t="shared" si="1"/>
        <v>396</v>
      </c>
      <c r="E7" s="76">
        <f t="shared" si="2"/>
        <v>-37.54545455</v>
      </c>
      <c r="F7" s="1">
        <f t="shared" si="3"/>
        <v>1409.661157</v>
      </c>
      <c r="G7" s="77">
        <f t="shared" si="4"/>
        <v>-1.690909091</v>
      </c>
      <c r="H7" s="1">
        <f t="shared" si="5"/>
        <v>2.859173554</v>
      </c>
      <c r="I7" s="1">
        <f t="shared" si="6"/>
        <v>63.48595041</v>
      </c>
    </row>
    <row r="8" ht="14.25" customHeight="1">
      <c r="A8" s="1">
        <v>1352.0</v>
      </c>
      <c r="B8" s="1">
        <v>89.0</v>
      </c>
      <c r="C8" s="1">
        <v>5.3</v>
      </c>
      <c r="D8" s="1">
        <f t="shared" si="1"/>
        <v>471.7</v>
      </c>
      <c r="E8" s="76">
        <f t="shared" si="2"/>
        <v>-36.54545455</v>
      </c>
      <c r="F8" s="1">
        <f t="shared" si="3"/>
        <v>1335.570248</v>
      </c>
      <c r="G8" s="77">
        <f t="shared" si="4"/>
        <v>-0.8909090909</v>
      </c>
      <c r="H8" s="1">
        <f t="shared" si="5"/>
        <v>0.7937190083</v>
      </c>
      <c r="I8" s="1">
        <f t="shared" si="6"/>
        <v>32.55867769</v>
      </c>
    </row>
    <row r="9" ht="14.25" customHeight="1">
      <c r="A9" s="1">
        <v>1341.0</v>
      </c>
      <c r="B9" s="1">
        <v>97.0</v>
      </c>
      <c r="C9" s="1">
        <v>5.6</v>
      </c>
      <c r="D9" s="1">
        <f t="shared" si="1"/>
        <v>543.2</v>
      </c>
      <c r="E9" s="76">
        <f t="shared" si="2"/>
        <v>-28.54545455</v>
      </c>
      <c r="F9" s="1">
        <f t="shared" si="3"/>
        <v>814.8429752</v>
      </c>
      <c r="G9" s="77">
        <f t="shared" si="4"/>
        <v>-0.5909090909</v>
      </c>
      <c r="H9" s="1">
        <f t="shared" si="5"/>
        <v>0.3491735537</v>
      </c>
      <c r="I9" s="1">
        <f t="shared" si="6"/>
        <v>16.8677686</v>
      </c>
    </row>
    <row r="10" ht="14.25" customHeight="1">
      <c r="A10" s="1">
        <v>1345.0</v>
      </c>
      <c r="B10" s="1">
        <v>97.0</v>
      </c>
      <c r="C10" s="1">
        <v>6.0</v>
      </c>
      <c r="D10" s="1">
        <f t="shared" si="1"/>
        <v>582</v>
      </c>
      <c r="E10" s="76">
        <f t="shared" si="2"/>
        <v>-28.54545455</v>
      </c>
      <c r="F10" s="1">
        <f t="shared" si="3"/>
        <v>814.8429752</v>
      </c>
      <c r="G10" s="77">
        <f t="shared" si="4"/>
        <v>-0.1909090909</v>
      </c>
      <c r="H10" s="1">
        <f t="shared" si="5"/>
        <v>0.03644628099</v>
      </c>
      <c r="I10" s="1">
        <f t="shared" si="6"/>
        <v>5.449586777</v>
      </c>
    </row>
    <row r="11" ht="14.25" customHeight="1">
      <c r="A11" s="1">
        <v>1397.0</v>
      </c>
      <c r="B11" s="1">
        <v>101.0</v>
      </c>
      <c r="C11" s="1">
        <v>5.7</v>
      </c>
      <c r="D11" s="1">
        <f t="shared" si="1"/>
        <v>575.7</v>
      </c>
      <c r="E11" s="76">
        <f t="shared" si="2"/>
        <v>-24.54545455</v>
      </c>
      <c r="F11" s="1">
        <f t="shared" si="3"/>
        <v>602.4793388</v>
      </c>
      <c r="G11" s="77">
        <f t="shared" si="4"/>
        <v>-0.4909090909</v>
      </c>
      <c r="H11" s="1">
        <f t="shared" si="5"/>
        <v>0.2409917355</v>
      </c>
      <c r="I11" s="1">
        <f t="shared" si="6"/>
        <v>12.04958678</v>
      </c>
    </row>
    <row r="12" ht="14.25" customHeight="1">
      <c r="A12" s="1">
        <v>1349.0</v>
      </c>
      <c r="B12" s="1">
        <v>128.0</v>
      </c>
      <c r="C12" s="1">
        <v>5.9</v>
      </c>
      <c r="D12" s="1">
        <f t="shared" si="1"/>
        <v>755.2</v>
      </c>
      <c r="E12" s="76">
        <f t="shared" si="2"/>
        <v>2.454545455</v>
      </c>
      <c r="F12" s="1">
        <f t="shared" si="3"/>
        <v>6.024793388</v>
      </c>
      <c r="G12" s="77">
        <f t="shared" si="4"/>
        <v>-0.2909090909</v>
      </c>
      <c r="H12" s="1">
        <f t="shared" si="5"/>
        <v>0.08462809917</v>
      </c>
      <c r="I12" s="1">
        <f t="shared" si="6"/>
        <v>-0.7140495868</v>
      </c>
    </row>
    <row r="13" ht="14.25" customHeight="1">
      <c r="A13" s="1">
        <v>1400.0</v>
      </c>
      <c r="B13" s="1">
        <v>136.0</v>
      </c>
      <c r="C13" s="1">
        <v>7.8</v>
      </c>
      <c r="D13" s="1">
        <f t="shared" si="1"/>
        <v>1060.8</v>
      </c>
      <c r="E13" s="76">
        <f t="shared" si="2"/>
        <v>10.45454545</v>
      </c>
      <c r="F13" s="1">
        <f t="shared" si="3"/>
        <v>109.2975207</v>
      </c>
      <c r="G13" s="77">
        <f t="shared" si="4"/>
        <v>1.609090909</v>
      </c>
      <c r="H13" s="1">
        <f t="shared" si="5"/>
        <v>2.589173554</v>
      </c>
      <c r="I13" s="1">
        <f t="shared" si="6"/>
        <v>16.82231405</v>
      </c>
    </row>
    <row r="14" ht="14.25" customHeight="1">
      <c r="A14" s="1">
        <v>1312.0</v>
      </c>
      <c r="B14" s="1">
        <v>165.0</v>
      </c>
      <c r="C14" s="1">
        <v>7.8</v>
      </c>
      <c r="D14" s="1">
        <f t="shared" si="1"/>
        <v>1287</v>
      </c>
      <c r="E14" s="76">
        <f t="shared" si="2"/>
        <v>39.45454545</v>
      </c>
      <c r="F14" s="1">
        <f t="shared" si="3"/>
        <v>1556.661157</v>
      </c>
      <c r="G14" s="77">
        <f t="shared" si="4"/>
        <v>1.609090909</v>
      </c>
      <c r="H14" s="1">
        <f t="shared" si="5"/>
        <v>2.589173554</v>
      </c>
      <c r="I14" s="1">
        <f t="shared" si="6"/>
        <v>63.48595041</v>
      </c>
    </row>
    <row r="15" ht="14.25" customHeight="1">
      <c r="A15" s="1">
        <v>1353.0</v>
      </c>
      <c r="B15" s="1">
        <v>189.0</v>
      </c>
      <c r="C15" s="1">
        <v>8.6</v>
      </c>
      <c r="D15" s="1">
        <f t="shared" si="1"/>
        <v>1625.4</v>
      </c>
      <c r="E15" s="76">
        <f t="shared" si="2"/>
        <v>63.45454545</v>
      </c>
      <c r="F15" s="1">
        <f t="shared" si="3"/>
        <v>4026.479339</v>
      </c>
      <c r="G15" s="77">
        <f t="shared" si="4"/>
        <v>2.409090909</v>
      </c>
      <c r="H15" s="1">
        <f t="shared" si="5"/>
        <v>5.803719008</v>
      </c>
      <c r="I15" s="1">
        <f t="shared" si="6"/>
        <v>152.8677686</v>
      </c>
    </row>
    <row r="16" ht="14.25" customHeight="1">
      <c r="A16" s="37">
        <v>1382.0</v>
      </c>
      <c r="B16" s="37">
        <v>205.0</v>
      </c>
      <c r="C16" s="37">
        <v>5.6</v>
      </c>
      <c r="D16" s="1">
        <f t="shared" si="1"/>
        <v>1148</v>
      </c>
      <c r="E16" s="78">
        <f t="shared" si="2"/>
        <v>79.45454545</v>
      </c>
      <c r="F16" s="37">
        <f t="shared" si="3"/>
        <v>6313.024793</v>
      </c>
      <c r="G16" s="79">
        <f t="shared" si="4"/>
        <v>-0.5909090909</v>
      </c>
      <c r="H16" s="37">
        <f t="shared" si="5"/>
        <v>0.3491735537</v>
      </c>
      <c r="I16" s="37">
        <f t="shared" si="6"/>
        <v>-46.95041322</v>
      </c>
    </row>
    <row r="17" ht="14.25" customHeight="1">
      <c r="A17" s="1" t="s">
        <v>38</v>
      </c>
      <c r="B17" s="33">
        <f t="shared" ref="B17:I17" si="7">SUM(B6:B16)</f>
        <v>1381</v>
      </c>
      <c r="C17" s="33">
        <f t="shared" si="7"/>
        <v>68.1</v>
      </c>
      <c r="D17" s="1">
        <f t="shared" si="7"/>
        <v>8900.8</v>
      </c>
      <c r="E17" s="80">
        <f t="shared" si="7"/>
        <v>0</v>
      </c>
      <c r="F17" s="1">
        <f t="shared" si="7"/>
        <v>18552.72727</v>
      </c>
      <c r="G17" s="33">
        <f t="shared" si="7"/>
        <v>0</v>
      </c>
      <c r="H17" s="33">
        <f t="shared" si="7"/>
        <v>16.48909091</v>
      </c>
      <c r="I17" s="33">
        <f t="shared" si="7"/>
        <v>351.1545455</v>
      </c>
    </row>
    <row r="18" ht="14.25" customHeight="1">
      <c r="A18" s="1" t="s">
        <v>334</v>
      </c>
      <c r="B18" s="33">
        <f t="shared" ref="B18:C18" si="8">+AVERAGE(B6:B16)</f>
        <v>125.5454545</v>
      </c>
      <c r="C18" s="33">
        <f t="shared" si="8"/>
        <v>6.190909091</v>
      </c>
      <c r="E18" s="1" t="s">
        <v>335</v>
      </c>
    </row>
    <row r="19" ht="14.25" customHeight="1">
      <c r="A19" s="1" t="s">
        <v>336</v>
      </c>
      <c r="B19" s="33">
        <f t="shared" ref="B19:C19" si="9">+_xlfn.STDEV.S(B6:B16)</f>
        <v>43.07287693</v>
      </c>
      <c r="C19" s="33">
        <f t="shared" si="9"/>
        <v>1.284098552</v>
      </c>
    </row>
    <row r="20" ht="14.25" customHeight="1"/>
    <row r="21" ht="14.25" customHeight="1">
      <c r="E21" s="1" t="s">
        <v>337</v>
      </c>
    </row>
    <row r="22" ht="14.25" customHeight="1">
      <c r="A22" s="1" t="s">
        <v>338</v>
      </c>
    </row>
    <row r="23" ht="14.25" customHeight="1"/>
    <row r="24" ht="14.25" customHeight="1">
      <c r="C24" s="1">
        <f>+I17/SQRT(F17*H17)</f>
        <v>0.6348864496</v>
      </c>
    </row>
    <row r="25" ht="14.25" customHeight="1"/>
    <row r="26" ht="14.25" customHeight="1"/>
    <row r="27" ht="14.25" customHeight="1"/>
    <row r="28" ht="14.25" customHeight="1"/>
    <row r="29" ht="14.25" customHeight="1"/>
    <row r="30" ht="14.25" customHeight="1"/>
    <row r="31" ht="14.25" customHeight="1">
      <c r="C31" s="1">
        <f>+CORREL(B6:B16,C6:C16)</f>
        <v>0.6348864496</v>
      </c>
    </row>
    <row r="32" ht="14.25" customHeight="1"/>
    <row r="33" ht="14.25" customHeight="1"/>
    <row r="34" ht="14.25" customHeight="1"/>
    <row r="35" ht="14.25" customHeight="1">
      <c r="A35" s="1" t="s">
        <v>339</v>
      </c>
    </row>
    <row r="36" ht="14.25" customHeight="1"/>
    <row r="37" ht="14.25" customHeight="1"/>
    <row r="38" ht="14.25" customHeight="1"/>
    <row r="39" ht="14.25" customHeight="1">
      <c r="E39" s="1">
        <f>+_xlfn.T.INV(0.975,9)</f>
        <v>2.262157163</v>
      </c>
    </row>
    <row r="40" ht="14.25" customHeight="1"/>
    <row r="41" ht="14.25" customHeight="1"/>
    <row r="42" ht="14.25" customHeight="1"/>
    <row r="43" ht="14.25" customHeight="1"/>
    <row r="44" ht="14.25" customHeight="1"/>
    <row r="45" ht="14.25" customHeight="1">
      <c r="A45" s="1" t="s">
        <v>340</v>
      </c>
    </row>
    <row r="46" ht="14.25" customHeight="1">
      <c r="A46" s="1">
        <f>+(C24-0)/(D46)</f>
        <v>2.465241897</v>
      </c>
      <c r="D46" s="1">
        <f>+SQRT((1-C31^2)/(11-2))</f>
        <v>0.2575351532</v>
      </c>
    </row>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c r="A62" s="1" t="s">
        <v>341</v>
      </c>
    </row>
    <row r="63" ht="14.25" customHeight="1"/>
    <row r="64" ht="14.25" customHeight="1"/>
    <row r="65" ht="14.25" customHeight="1">
      <c r="A65" s="1" t="s">
        <v>146</v>
      </c>
    </row>
    <row r="66" ht="14.25" customHeight="1"/>
    <row r="67" ht="14.25" customHeight="1"/>
    <row r="68" ht="14.25" customHeight="1"/>
    <row r="69" ht="14.25" customHeight="1">
      <c r="B69" s="1">
        <f>_xlfn.T.DIST.2T(A46,9)</f>
        <v>0.03584902678</v>
      </c>
    </row>
    <row r="70" ht="14.25" customHeight="1"/>
    <row r="71" ht="14.25" customHeight="1"/>
    <row r="72" ht="14.25" customHeight="1"/>
    <row r="73" ht="14.25" customHeight="1"/>
    <row r="74" ht="14.25" customHeight="1">
      <c r="A74" s="1" t="s">
        <v>342</v>
      </c>
      <c r="E74" s="35" t="s">
        <v>343</v>
      </c>
    </row>
    <row r="75" ht="14.25" customHeight="1"/>
    <row r="76" ht="14.25" customHeight="1">
      <c r="B76" s="15" t="s">
        <v>327</v>
      </c>
      <c r="C76" s="1" t="s">
        <v>344</v>
      </c>
    </row>
    <row r="77" ht="14.25" customHeight="1"/>
    <row r="78" ht="14.25" customHeight="1">
      <c r="A78" s="1" t="s">
        <v>328</v>
      </c>
      <c r="B78" s="1" t="s">
        <v>211</v>
      </c>
      <c r="C78" s="1" t="s">
        <v>32</v>
      </c>
      <c r="D78" s="47" t="s">
        <v>345</v>
      </c>
      <c r="E78" s="47" t="s">
        <v>346</v>
      </c>
      <c r="F78" s="22" t="s">
        <v>347</v>
      </c>
      <c r="G78" s="22" t="s">
        <v>348</v>
      </c>
      <c r="H78" s="22" t="s">
        <v>349</v>
      </c>
      <c r="I78" s="22" t="s">
        <v>350</v>
      </c>
      <c r="J78" s="22"/>
    </row>
    <row r="79" ht="14.25" customHeight="1">
      <c r="A79" s="1">
        <v>1339.0</v>
      </c>
      <c r="B79" s="1">
        <v>88.0</v>
      </c>
      <c r="C79" s="1">
        <v>4.5</v>
      </c>
      <c r="D79" s="47">
        <v>2.0</v>
      </c>
      <c r="E79" s="47">
        <v>2.0</v>
      </c>
      <c r="F79" s="47">
        <v>1.0</v>
      </c>
      <c r="G79" s="47">
        <v>1.0</v>
      </c>
      <c r="H79" s="47">
        <f t="shared" ref="H79:H89" si="10">+E79-G79</f>
        <v>1</v>
      </c>
      <c r="I79" s="47">
        <f t="shared" ref="I79:I89" si="11">+H79*H79</f>
        <v>1</v>
      </c>
    </row>
    <row r="80" ht="14.25" customHeight="1">
      <c r="A80" s="1">
        <v>1329.0</v>
      </c>
      <c r="B80" s="1">
        <v>86.0</v>
      </c>
      <c r="C80" s="81">
        <v>5.3</v>
      </c>
      <c r="D80" s="47">
        <v>1.0</v>
      </c>
      <c r="E80" s="47">
        <v>1.0</v>
      </c>
      <c r="F80" s="82">
        <v>2.0</v>
      </c>
      <c r="G80" s="82">
        <v>2.5</v>
      </c>
      <c r="H80" s="47">
        <f t="shared" si="10"/>
        <v>-1.5</v>
      </c>
      <c r="I80" s="47">
        <f t="shared" si="11"/>
        <v>2.25</v>
      </c>
    </row>
    <row r="81" ht="14.25" customHeight="1">
      <c r="A81" s="1">
        <v>1352.0</v>
      </c>
      <c r="B81" s="1">
        <v>89.0</v>
      </c>
      <c r="C81" s="81">
        <v>5.3</v>
      </c>
      <c r="D81" s="47">
        <v>3.0</v>
      </c>
      <c r="E81" s="47">
        <v>3.0</v>
      </c>
      <c r="F81" s="82">
        <v>3.0</v>
      </c>
      <c r="G81" s="82">
        <v>2.5</v>
      </c>
      <c r="H81" s="47">
        <f t="shared" si="10"/>
        <v>0.5</v>
      </c>
      <c r="I81" s="47">
        <f t="shared" si="11"/>
        <v>0.25</v>
      </c>
    </row>
    <row r="82" ht="14.25" customHeight="1">
      <c r="A82" s="1">
        <v>1341.0</v>
      </c>
      <c r="B82" s="83">
        <v>97.0</v>
      </c>
      <c r="C82" s="84">
        <v>5.6</v>
      </c>
      <c r="D82" s="83">
        <v>4.0</v>
      </c>
      <c r="E82" s="83">
        <v>4.5</v>
      </c>
      <c r="F82" s="84">
        <v>4.0</v>
      </c>
      <c r="G82" s="84">
        <v>4.5</v>
      </c>
      <c r="H82" s="47">
        <f t="shared" si="10"/>
        <v>0</v>
      </c>
      <c r="I82" s="47">
        <f t="shared" si="11"/>
        <v>0</v>
      </c>
    </row>
    <row r="83" ht="14.25" customHeight="1">
      <c r="A83" s="1">
        <v>1345.0</v>
      </c>
      <c r="B83" s="47">
        <v>205.0</v>
      </c>
      <c r="C83" s="84">
        <v>5.6</v>
      </c>
      <c r="D83" s="47">
        <v>11.0</v>
      </c>
      <c r="E83" s="47">
        <v>11.0</v>
      </c>
      <c r="F83" s="84">
        <v>5.0</v>
      </c>
      <c r="G83" s="84">
        <v>4.5</v>
      </c>
      <c r="H83" s="47">
        <f t="shared" si="10"/>
        <v>6.5</v>
      </c>
      <c r="I83" s="47">
        <f t="shared" si="11"/>
        <v>42.25</v>
      </c>
    </row>
    <row r="84" ht="14.25" customHeight="1">
      <c r="A84" s="1">
        <v>1397.0</v>
      </c>
      <c r="B84" s="1">
        <v>101.0</v>
      </c>
      <c r="C84" s="1">
        <v>5.7</v>
      </c>
      <c r="D84" s="47">
        <v>6.0</v>
      </c>
      <c r="E84" s="47">
        <v>6.0</v>
      </c>
      <c r="F84" s="47">
        <v>6.0</v>
      </c>
      <c r="G84" s="47">
        <v>6.0</v>
      </c>
      <c r="H84" s="47">
        <f t="shared" si="10"/>
        <v>0</v>
      </c>
      <c r="I84" s="47">
        <f t="shared" si="11"/>
        <v>0</v>
      </c>
    </row>
    <row r="85" ht="14.25" customHeight="1">
      <c r="A85" s="1">
        <v>1349.0</v>
      </c>
      <c r="B85" s="1">
        <v>128.0</v>
      </c>
      <c r="C85" s="1">
        <v>5.9</v>
      </c>
      <c r="D85" s="47">
        <v>7.0</v>
      </c>
      <c r="E85" s="47">
        <v>7.0</v>
      </c>
      <c r="F85" s="47">
        <v>7.0</v>
      </c>
      <c r="G85" s="47">
        <v>7.0</v>
      </c>
      <c r="H85" s="47">
        <f t="shared" si="10"/>
        <v>0</v>
      </c>
      <c r="I85" s="47">
        <f t="shared" si="11"/>
        <v>0</v>
      </c>
    </row>
    <row r="86" ht="14.25" customHeight="1">
      <c r="A86" s="1">
        <v>1400.0</v>
      </c>
      <c r="B86" s="83">
        <v>97.0</v>
      </c>
      <c r="C86" s="1">
        <v>6.0</v>
      </c>
      <c r="D86" s="83">
        <v>5.0</v>
      </c>
      <c r="E86" s="83">
        <v>4.5</v>
      </c>
      <c r="F86" s="85">
        <v>8.0</v>
      </c>
      <c r="G86" s="47">
        <v>8.0</v>
      </c>
      <c r="H86" s="47">
        <f t="shared" si="10"/>
        <v>-3.5</v>
      </c>
      <c r="I86" s="47">
        <f t="shared" si="11"/>
        <v>12.25</v>
      </c>
    </row>
    <row r="87" ht="14.25" customHeight="1">
      <c r="A87" s="1">
        <v>1312.0</v>
      </c>
      <c r="B87" s="1">
        <v>136.0</v>
      </c>
      <c r="C87" s="86">
        <v>7.8</v>
      </c>
      <c r="D87" s="47">
        <v>8.0</v>
      </c>
      <c r="E87" s="47">
        <v>8.0</v>
      </c>
      <c r="F87" s="86">
        <v>9.0</v>
      </c>
      <c r="G87" s="86">
        <v>9.5</v>
      </c>
      <c r="H87" s="47">
        <f t="shared" si="10"/>
        <v>-1.5</v>
      </c>
      <c r="I87" s="47">
        <f t="shared" si="11"/>
        <v>2.25</v>
      </c>
    </row>
    <row r="88" ht="14.25" customHeight="1">
      <c r="A88" s="1">
        <v>1353.0</v>
      </c>
      <c r="B88" s="1">
        <v>165.0</v>
      </c>
      <c r="C88" s="86">
        <v>7.8</v>
      </c>
      <c r="D88" s="47">
        <v>9.0</v>
      </c>
      <c r="E88" s="47">
        <v>9.0</v>
      </c>
      <c r="F88" s="86">
        <v>10.0</v>
      </c>
      <c r="G88" s="86">
        <v>9.5</v>
      </c>
      <c r="H88" s="47">
        <f t="shared" si="10"/>
        <v>-0.5</v>
      </c>
      <c r="I88" s="47">
        <f t="shared" si="11"/>
        <v>0.25</v>
      </c>
    </row>
    <row r="89" ht="14.25" customHeight="1">
      <c r="A89" s="37">
        <v>1382.0</v>
      </c>
      <c r="B89" s="37">
        <v>189.0</v>
      </c>
      <c r="C89" s="37">
        <v>8.6</v>
      </c>
      <c r="D89" s="47">
        <v>10.0</v>
      </c>
      <c r="E89" s="47">
        <v>10.0</v>
      </c>
      <c r="F89" s="47">
        <v>11.0</v>
      </c>
      <c r="G89" s="47">
        <v>11.0</v>
      </c>
      <c r="H89" s="47">
        <f t="shared" si="10"/>
        <v>-1</v>
      </c>
      <c r="I89" s="47">
        <f t="shared" si="11"/>
        <v>1</v>
      </c>
    </row>
    <row r="90" ht="14.25" customHeight="1">
      <c r="B90" s="33"/>
      <c r="C90" s="33"/>
      <c r="D90" s="47"/>
      <c r="E90" s="80"/>
      <c r="F90" s="47"/>
      <c r="G90" s="33"/>
      <c r="H90" s="33">
        <f t="shared" ref="H90:I90" si="12">SUM(H79:H89)</f>
        <v>0</v>
      </c>
      <c r="I90" s="33">
        <f t="shared" si="12"/>
        <v>61.5</v>
      </c>
    </row>
    <row r="91" ht="14.25" customHeight="1">
      <c r="B91" s="33"/>
      <c r="C91" s="33"/>
      <c r="D91" s="47"/>
      <c r="E91" s="47"/>
      <c r="F91" s="47"/>
      <c r="G91" s="47"/>
      <c r="H91" s="47"/>
      <c r="I91" s="47"/>
    </row>
    <row r="92" ht="14.25" customHeight="1">
      <c r="B92" s="33" t="s">
        <v>351</v>
      </c>
      <c r="C92" s="33"/>
      <c r="D92" s="47"/>
      <c r="E92" s="47"/>
      <c r="F92" s="47"/>
      <c r="G92" s="47"/>
      <c r="H92" s="47"/>
      <c r="I92" s="47"/>
    </row>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c r="B102" s="1" t="s">
        <v>352</v>
      </c>
      <c r="C102" s="1">
        <f>+(2^3-2)/12</f>
        <v>0.5</v>
      </c>
    </row>
    <row r="103" ht="14.25" customHeight="1"/>
    <row r="104" ht="14.25" customHeight="1"/>
    <row r="105" ht="14.25" customHeight="1">
      <c r="B105" s="1" t="s">
        <v>353</v>
      </c>
      <c r="C105" s="1">
        <f>+((2^3-2)+(2^3-2)+(2^3-2))/12</f>
        <v>1.5</v>
      </c>
    </row>
    <row r="106" ht="14.25" customHeight="1">
      <c r="B106" s="47"/>
      <c r="C106" s="47"/>
      <c r="D106" s="47"/>
      <c r="E106" s="47"/>
    </row>
    <row r="107" ht="14.25" customHeight="1">
      <c r="B107" s="47" t="s">
        <v>354</v>
      </c>
      <c r="C107" s="87">
        <f>+(11^3-11)/6-I90-C102-C105</f>
        <v>156.5</v>
      </c>
      <c r="D107" s="47" t="s">
        <v>285</v>
      </c>
      <c r="E107" s="36">
        <f>+C107/C108</f>
        <v>0.7178974613</v>
      </c>
    </row>
    <row r="108" ht="14.25" customHeight="1">
      <c r="B108" s="47"/>
      <c r="C108" s="47">
        <f>+SQRT(((11^3-11)/6-2*C102)*((11^3-11)/6-2*C105))</f>
        <v>217.9977064</v>
      </c>
      <c r="D108" s="47"/>
      <c r="E108" s="47"/>
    </row>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c r="B138" s="1" t="s">
        <v>355</v>
      </c>
    </row>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c r="A150" s="1" t="s">
        <v>356</v>
      </c>
      <c r="C150" s="1" t="s">
        <v>357</v>
      </c>
    </row>
    <row r="151" ht="14.25" customHeight="1">
      <c r="D151" s="15" t="s">
        <v>358</v>
      </c>
      <c r="E151" s="15" t="s">
        <v>359</v>
      </c>
    </row>
    <row r="152" ht="14.25" customHeight="1"/>
    <row r="153" ht="14.25" customHeight="1"/>
    <row r="154" ht="14.25" customHeight="1">
      <c r="B154" s="15" t="s">
        <v>327</v>
      </c>
    </row>
    <row r="155" ht="14.25" customHeight="1"/>
    <row r="156" ht="14.25" customHeight="1">
      <c r="A156" s="22" t="s">
        <v>328</v>
      </c>
      <c r="B156" s="22" t="s">
        <v>211</v>
      </c>
      <c r="C156" s="22" t="s">
        <v>32</v>
      </c>
      <c r="D156" s="22" t="s">
        <v>360</v>
      </c>
      <c r="E156" s="22" t="s">
        <v>361</v>
      </c>
    </row>
    <row r="157" ht="14.25" customHeight="1">
      <c r="A157" s="1">
        <v>1339.0</v>
      </c>
      <c r="B157" s="1">
        <v>86.0</v>
      </c>
      <c r="C157" s="1">
        <v>5.3</v>
      </c>
      <c r="D157" s="1">
        <v>8.0</v>
      </c>
      <c r="E157" s="1">
        <v>1.0</v>
      </c>
    </row>
    <row r="158" ht="14.25" customHeight="1">
      <c r="A158" s="1">
        <v>1329.0</v>
      </c>
      <c r="B158" s="1">
        <v>88.0</v>
      </c>
      <c r="C158" s="1">
        <v>4.5</v>
      </c>
      <c r="D158" s="1">
        <v>9.0</v>
      </c>
      <c r="E158" s="1">
        <v>0.0</v>
      </c>
    </row>
    <row r="159" ht="14.25" customHeight="1">
      <c r="A159" s="1">
        <v>1352.0</v>
      </c>
      <c r="B159" s="1">
        <v>89.0</v>
      </c>
      <c r="C159" s="1">
        <v>5.3</v>
      </c>
      <c r="D159" s="1">
        <v>8.0</v>
      </c>
      <c r="E159" s="1">
        <v>0.0</v>
      </c>
      <c r="G159" s="1" t="s">
        <v>362</v>
      </c>
    </row>
    <row r="160" ht="14.25" customHeight="1">
      <c r="A160" s="1">
        <v>1341.0</v>
      </c>
      <c r="B160" s="83">
        <v>97.0</v>
      </c>
      <c r="C160" s="1">
        <v>5.6</v>
      </c>
      <c r="D160" s="1">
        <v>6.0</v>
      </c>
      <c r="E160" s="1">
        <v>0.0</v>
      </c>
    </row>
    <row r="161" ht="14.25" customHeight="1">
      <c r="A161" s="1">
        <v>1345.0</v>
      </c>
      <c r="B161" s="83">
        <v>97.0</v>
      </c>
      <c r="C161" s="1">
        <v>6.0</v>
      </c>
      <c r="D161" s="1">
        <v>3.0</v>
      </c>
      <c r="E161" s="1">
        <v>3.0</v>
      </c>
    </row>
    <row r="162" ht="14.25" customHeight="1">
      <c r="A162" s="1">
        <v>1397.0</v>
      </c>
      <c r="B162" s="1">
        <v>101.0</v>
      </c>
      <c r="C162" s="1">
        <v>5.7</v>
      </c>
      <c r="D162" s="1">
        <v>4.0</v>
      </c>
      <c r="E162" s="1">
        <v>1.0</v>
      </c>
    </row>
    <row r="163" ht="14.25" customHeight="1">
      <c r="A163" s="1">
        <v>1349.0</v>
      </c>
      <c r="B163" s="1">
        <v>128.0</v>
      </c>
      <c r="C163" s="1">
        <v>5.9</v>
      </c>
      <c r="D163" s="1">
        <v>3.0</v>
      </c>
      <c r="E163" s="1">
        <v>1.0</v>
      </c>
    </row>
    <row r="164" ht="14.25" customHeight="1">
      <c r="A164" s="1">
        <v>1400.0</v>
      </c>
      <c r="B164" s="1">
        <v>136.0</v>
      </c>
      <c r="C164" s="1">
        <v>7.8</v>
      </c>
      <c r="D164" s="1">
        <v>1.0</v>
      </c>
      <c r="E164" s="1">
        <v>1.0</v>
      </c>
    </row>
    <row r="165" ht="14.25" customHeight="1">
      <c r="A165" s="1">
        <v>1312.0</v>
      </c>
      <c r="B165" s="1">
        <v>165.0</v>
      </c>
      <c r="C165" s="1">
        <v>7.8</v>
      </c>
      <c r="D165" s="1">
        <v>1.0</v>
      </c>
      <c r="E165" s="1">
        <v>1.0</v>
      </c>
    </row>
    <row r="166" ht="14.25" customHeight="1">
      <c r="A166" s="1">
        <v>1353.0</v>
      </c>
      <c r="B166" s="1">
        <v>189.0</v>
      </c>
      <c r="C166" s="1">
        <v>8.6</v>
      </c>
      <c r="D166" s="1">
        <v>0.0</v>
      </c>
      <c r="E166" s="1">
        <v>1.0</v>
      </c>
    </row>
    <row r="167" ht="14.25" customHeight="1">
      <c r="A167" s="37">
        <v>1382.0</v>
      </c>
      <c r="B167" s="37">
        <v>205.0</v>
      </c>
      <c r="C167" s="37">
        <v>5.6</v>
      </c>
      <c r="D167" s="37">
        <v>0.0</v>
      </c>
      <c r="E167" s="37">
        <v>0.0</v>
      </c>
    </row>
    <row r="168" ht="14.25" customHeight="1">
      <c r="A168" s="1" t="s">
        <v>38</v>
      </c>
      <c r="B168" s="33">
        <f t="shared" ref="B168:E168" si="13">SUM(B157:B167)</f>
        <v>1381</v>
      </c>
      <c r="C168" s="33">
        <f t="shared" si="13"/>
        <v>68.1</v>
      </c>
      <c r="D168" s="1">
        <f t="shared" si="13"/>
        <v>43</v>
      </c>
      <c r="E168" s="1">
        <f t="shared" si="13"/>
        <v>9</v>
      </c>
    </row>
    <row r="169" ht="14.25" customHeight="1"/>
    <row r="170" ht="14.25" customHeight="1">
      <c r="E170" s="1" t="s">
        <v>363</v>
      </c>
      <c r="F170" s="1">
        <f>+D168-E168</f>
        <v>34</v>
      </c>
    </row>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c r="B181" s="1" t="s">
        <v>352</v>
      </c>
      <c r="C181" s="1">
        <f>+(2^3-2)/12</f>
        <v>0.5</v>
      </c>
    </row>
    <row r="182" ht="14.25" customHeight="1"/>
    <row r="183" ht="14.25" customHeight="1"/>
    <row r="184" ht="14.25" customHeight="1">
      <c r="B184" s="1" t="s">
        <v>353</v>
      </c>
      <c r="C184" s="1">
        <f>+((2^3-2)+(2^3-2)+(2^3-2))/12</f>
        <v>1.5</v>
      </c>
    </row>
    <row r="185" ht="14.25" customHeight="1">
      <c r="B185" s="47"/>
      <c r="C185" s="47"/>
      <c r="D185" s="47"/>
      <c r="E185" s="47"/>
    </row>
    <row r="186" ht="14.25" customHeight="1">
      <c r="B186" s="47"/>
      <c r="C186" s="37">
        <v>34.0</v>
      </c>
      <c r="D186" s="47" t="s">
        <v>285</v>
      </c>
      <c r="E186" s="36">
        <f>+C186/C187</f>
        <v>0.6296566217</v>
      </c>
    </row>
    <row r="187" ht="14.25" customHeight="1">
      <c r="B187" s="47"/>
      <c r="C187" s="47">
        <f>+SQRT(C181*11*10-0.5)*SQRT(0.5*11*10-C184)</f>
        <v>53.99768514</v>
      </c>
      <c r="D187" s="47"/>
      <c r="E187" s="47"/>
    </row>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c r="A209" s="1" t="s">
        <v>364</v>
      </c>
    </row>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c r="A222" s="88" t="s">
        <v>365</v>
      </c>
    </row>
    <row r="223" ht="14.25" customHeight="1">
      <c r="A223" s="1" t="s">
        <v>328</v>
      </c>
      <c r="B223" s="89" t="s">
        <v>366</v>
      </c>
      <c r="C223" s="1" t="s">
        <v>367</v>
      </c>
    </row>
    <row r="224" ht="14.25" customHeight="1">
      <c r="A224" s="1">
        <v>446.0</v>
      </c>
      <c r="B224" s="47" t="s">
        <v>368</v>
      </c>
      <c r="C224" s="1">
        <v>118.0</v>
      </c>
    </row>
    <row r="225" ht="14.25" customHeight="1">
      <c r="A225" s="1">
        <v>474.0</v>
      </c>
      <c r="B225" s="47" t="s">
        <v>368</v>
      </c>
      <c r="C225" s="1">
        <v>80.0</v>
      </c>
      <c r="F225" s="1" t="s">
        <v>369</v>
      </c>
    </row>
    <row r="226" ht="14.25" customHeight="1">
      <c r="A226" s="1">
        <v>443.0</v>
      </c>
      <c r="B226" s="47" t="s">
        <v>370</v>
      </c>
      <c r="C226" s="1">
        <v>87.0</v>
      </c>
    </row>
    <row r="227" ht="14.25" customHeight="1">
      <c r="A227" s="1">
        <v>450.0</v>
      </c>
      <c r="B227" s="47" t="s">
        <v>370</v>
      </c>
      <c r="C227" s="1">
        <v>127.0</v>
      </c>
    </row>
    <row r="228" ht="14.25" customHeight="1">
      <c r="A228" s="1">
        <v>452.0</v>
      </c>
      <c r="B228" s="47" t="s">
        <v>370</v>
      </c>
      <c r="C228" s="1">
        <v>76.0</v>
      </c>
    </row>
    <row r="229" ht="14.25" customHeight="1">
      <c r="A229" s="1">
        <v>459.0</v>
      </c>
      <c r="B229" s="47" t="s">
        <v>370</v>
      </c>
      <c r="C229" s="1">
        <v>88.0</v>
      </c>
    </row>
    <row r="230" ht="14.25" customHeight="1">
      <c r="A230" s="1">
        <v>462.0</v>
      </c>
      <c r="B230" s="47" t="s">
        <v>370</v>
      </c>
      <c r="C230" s="1">
        <v>98.0</v>
      </c>
    </row>
    <row r="231" ht="14.25" customHeight="1">
      <c r="A231" s="1">
        <v>463.0</v>
      </c>
      <c r="B231" s="47" t="s">
        <v>370</v>
      </c>
      <c r="C231" s="1">
        <v>83.0</v>
      </c>
    </row>
    <row r="232" ht="14.25" customHeight="1">
      <c r="A232" s="1">
        <v>466.0</v>
      </c>
      <c r="B232" s="47" t="s">
        <v>370</v>
      </c>
      <c r="C232" s="1">
        <v>85.0</v>
      </c>
    </row>
    <row r="233" ht="14.25" customHeight="1">
      <c r="A233" s="1">
        <v>447.0</v>
      </c>
      <c r="B233" s="47" t="s">
        <v>375</v>
      </c>
      <c r="C233" s="1">
        <v>123.0</v>
      </c>
    </row>
    <row r="234" ht="14.25" customHeight="1">
      <c r="A234" s="1">
        <v>451.0</v>
      </c>
      <c r="B234" s="47" t="s">
        <v>375</v>
      </c>
      <c r="C234" s="1">
        <v>99.0</v>
      </c>
    </row>
    <row r="235" ht="14.25" customHeight="1">
      <c r="A235" s="1">
        <v>454.0</v>
      </c>
      <c r="B235" s="47" t="s">
        <v>375</v>
      </c>
      <c r="C235" s="1">
        <v>102.0</v>
      </c>
    </row>
    <row r="236" ht="14.25" customHeight="1">
      <c r="A236" s="1">
        <v>455.0</v>
      </c>
      <c r="B236" s="47" t="s">
        <v>375</v>
      </c>
      <c r="C236" s="1">
        <v>198.0</v>
      </c>
    </row>
    <row r="237" ht="14.25" customHeight="1">
      <c r="A237" s="1">
        <v>458.0</v>
      </c>
      <c r="B237" s="47" t="s">
        <v>375</v>
      </c>
      <c r="C237" s="1">
        <v>86.0</v>
      </c>
    </row>
    <row r="238" ht="14.25" customHeight="1">
      <c r="A238" s="1">
        <v>461.0</v>
      </c>
      <c r="B238" s="47" t="s">
        <v>375</v>
      </c>
      <c r="C238" s="1">
        <v>81.0</v>
      </c>
    </row>
    <row r="239" ht="14.25" customHeight="1">
      <c r="A239" s="1">
        <v>469.0</v>
      </c>
      <c r="B239" s="47" t="s">
        <v>375</v>
      </c>
      <c r="C239" s="1">
        <v>94.0</v>
      </c>
    </row>
    <row r="240" ht="14.25" customHeight="1">
      <c r="A240" s="1">
        <v>472.0</v>
      </c>
      <c r="B240" s="47" t="s">
        <v>375</v>
      </c>
      <c r="C240" s="1">
        <v>86.0</v>
      </c>
    </row>
    <row r="241" ht="14.25" customHeight="1">
      <c r="A241" s="1">
        <v>473.0</v>
      </c>
      <c r="B241" s="47" t="s">
        <v>375</v>
      </c>
      <c r="C241" s="1">
        <v>127.0</v>
      </c>
    </row>
    <row r="242" ht="14.25" customHeight="1">
      <c r="A242" s="1">
        <v>444.0</v>
      </c>
      <c r="B242" s="47" t="s">
        <v>374</v>
      </c>
      <c r="C242" s="1">
        <v>100.0</v>
      </c>
    </row>
    <row r="243" ht="14.25" customHeight="1">
      <c r="A243" s="1">
        <v>448.0</v>
      </c>
      <c r="B243" s="47" t="s">
        <v>374</v>
      </c>
      <c r="C243" s="1">
        <v>104.0</v>
      </c>
    </row>
    <row r="244" ht="14.25" customHeight="1">
      <c r="A244" s="1">
        <v>449.0</v>
      </c>
      <c r="B244" s="47" t="s">
        <v>374</v>
      </c>
      <c r="C244" s="1">
        <v>132.0</v>
      </c>
    </row>
    <row r="245" ht="14.25" customHeight="1">
      <c r="A245" s="1">
        <v>460.0</v>
      </c>
      <c r="B245" s="47" t="s">
        <v>374</v>
      </c>
      <c r="C245" s="1">
        <v>276.0</v>
      </c>
    </row>
    <row r="246" ht="14.25" customHeight="1">
      <c r="A246" s="1">
        <v>465.0</v>
      </c>
      <c r="B246" s="47" t="s">
        <v>374</v>
      </c>
      <c r="C246" s="1">
        <v>156.0</v>
      </c>
    </row>
    <row r="247" ht="14.25" customHeight="1">
      <c r="A247" s="1">
        <v>470.0</v>
      </c>
      <c r="B247" s="47" t="s">
        <v>374</v>
      </c>
      <c r="C247" s="1">
        <v>79.0</v>
      </c>
    </row>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c r="D269" s="1">
        <f>+_xlfn.F.INV(0.95,3,20)</f>
        <v>3.098391212</v>
      </c>
    </row>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5">
    <mergeCell ref="B3:B4"/>
    <mergeCell ref="B76:B77"/>
    <mergeCell ref="D151:D155"/>
    <mergeCell ref="E151:E155"/>
    <mergeCell ref="B154:B155"/>
  </mergeCells>
  <printOptions/>
  <pageMargins bottom="0.75" footer="0.0" header="0.0" left="0.7" right="0.7" top="0.75"/>
  <pageSetup paperSize="9" orientation="portrait"/>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9.86"/>
    <col customWidth="1" min="2" max="2" width="11.57"/>
    <col customWidth="1" min="3" max="4" width="10.71"/>
    <col customWidth="1" min="5" max="6" width="12.0"/>
    <col customWidth="1" min="7" max="26" width="10.71"/>
  </cols>
  <sheetData>
    <row r="1" ht="14.25" customHeight="1">
      <c r="A1" s="1" t="s">
        <v>377</v>
      </c>
    </row>
    <row r="2" ht="14.25" customHeight="1">
      <c r="A2" s="1" t="s">
        <v>378</v>
      </c>
    </row>
    <row r="3" ht="14.25" customHeight="1"/>
    <row r="4" ht="14.25" customHeight="1">
      <c r="A4" s="1" t="s">
        <v>379</v>
      </c>
    </row>
    <row r="5" ht="14.25" customHeight="1"/>
    <row r="6" ht="14.25" customHeight="1">
      <c r="A6" s="1" t="s">
        <v>380</v>
      </c>
      <c r="B6" s="1" t="s">
        <v>381</v>
      </c>
      <c r="C6" s="1" t="s">
        <v>382</v>
      </c>
    </row>
    <row r="7" ht="14.25" customHeight="1">
      <c r="A7" s="1" t="s">
        <v>383</v>
      </c>
      <c r="B7" s="1" t="s">
        <v>384</v>
      </c>
    </row>
    <row r="8" ht="14.25" customHeight="1">
      <c r="A8" s="37"/>
      <c r="B8" s="37"/>
      <c r="C8" s="37"/>
      <c r="D8" s="37"/>
    </row>
    <row r="9" ht="14.25" customHeight="1">
      <c r="A9" s="22"/>
      <c r="B9" s="15" t="s">
        <v>385</v>
      </c>
      <c r="C9" s="15" t="s">
        <v>386</v>
      </c>
      <c r="D9" s="22"/>
    </row>
    <row r="10" ht="14.25" customHeight="1">
      <c r="A10" s="28" t="s">
        <v>387</v>
      </c>
      <c r="B10" s="7"/>
      <c r="C10" s="7"/>
      <c r="D10" s="28" t="s">
        <v>388</v>
      </c>
      <c r="F10" s="1" t="s">
        <v>389</v>
      </c>
    </row>
    <row r="11" ht="14.25" customHeight="1">
      <c r="A11" s="22">
        <v>1.0</v>
      </c>
      <c r="B11" s="22">
        <v>140.0</v>
      </c>
      <c r="C11" s="22">
        <v>135.0</v>
      </c>
      <c r="D11" s="22">
        <f t="shared" ref="D11:D20" si="1">+B11-C11</f>
        <v>5</v>
      </c>
      <c r="F11" s="1" t="s">
        <v>390</v>
      </c>
    </row>
    <row r="12" ht="14.25" customHeight="1">
      <c r="A12" s="22">
        <v>2.0</v>
      </c>
      <c r="B12" s="22">
        <v>150.0</v>
      </c>
      <c r="C12" s="22">
        <v>148.0</v>
      </c>
      <c r="D12" s="22">
        <f t="shared" si="1"/>
        <v>2</v>
      </c>
    </row>
    <row r="13" ht="14.25" customHeight="1">
      <c r="A13" s="22">
        <v>3.0</v>
      </c>
      <c r="B13" s="22">
        <v>167.0</v>
      </c>
      <c r="C13" s="22">
        <v>133.0</v>
      </c>
      <c r="D13" s="22">
        <f t="shared" si="1"/>
        <v>34</v>
      </c>
      <c r="F13" s="30" t="s">
        <v>391</v>
      </c>
    </row>
    <row r="14" ht="14.25" customHeight="1">
      <c r="A14" s="22">
        <v>4.0</v>
      </c>
      <c r="B14" s="22">
        <v>180.0</v>
      </c>
      <c r="C14" s="22">
        <v>185.0</v>
      </c>
      <c r="D14" s="22">
        <f t="shared" si="1"/>
        <v>-5</v>
      </c>
    </row>
    <row r="15" ht="14.25" customHeight="1">
      <c r="A15" s="22">
        <v>5.0</v>
      </c>
      <c r="B15" s="22">
        <v>210.0</v>
      </c>
      <c r="C15" s="22">
        <v>190.0</v>
      </c>
      <c r="D15" s="22">
        <f t="shared" si="1"/>
        <v>20</v>
      </c>
    </row>
    <row r="16" ht="14.25" customHeight="1">
      <c r="A16" s="22">
        <v>6.0</v>
      </c>
      <c r="B16" s="22">
        <v>110.0</v>
      </c>
      <c r="C16" s="22">
        <v>110.0</v>
      </c>
      <c r="D16" s="22">
        <f t="shared" si="1"/>
        <v>0</v>
      </c>
    </row>
    <row r="17" ht="14.25" customHeight="1">
      <c r="A17" s="22">
        <v>7.0</v>
      </c>
      <c r="B17" s="22">
        <v>125.0</v>
      </c>
      <c r="C17" s="22">
        <v>130.0</v>
      </c>
      <c r="D17" s="22">
        <f t="shared" si="1"/>
        <v>-5</v>
      </c>
    </row>
    <row r="18" ht="14.25" customHeight="1">
      <c r="A18" s="22">
        <v>8.0</v>
      </c>
      <c r="B18" s="22">
        <v>133.0</v>
      </c>
      <c r="C18" s="22">
        <v>90.0</v>
      </c>
      <c r="D18" s="22">
        <f t="shared" si="1"/>
        <v>43</v>
      </c>
    </row>
    <row r="19" ht="14.25" customHeight="1">
      <c r="A19" s="22">
        <v>9.0</v>
      </c>
      <c r="B19" s="22">
        <v>158.0</v>
      </c>
      <c r="C19" s="22">
        <v>145.0</v>
      </c>
      <c r="D19" s="22">
        <f t="shared" si="1"/>
        <v>13</v>
      </c>
    </row>
    <row r="20" ht="14.25" customHeight="1">
      <c r="A20" s="28">
        <v>10.0</v>
      </c>
      <c r="B20" s="28">
        <v>170.0</v>
      </c>
      <c r="C20" s="28">
        <v>160.0</v>
      </c>
      <c r="D20" s="28">
        <f t="shared" si="1"/>
        <v>10</v>
      </c>
    </row>
    <row r="21" ht="14.25" customHeight="1">
      <c r="A21" s="4" t="s">
        <v>334</v>
      </c>
      <c r="B21" s="4">
        <f t="shared" ref="B21:D21" si="2">+AVERAGE(B11:B20)</f>
        <v>154.3</v>
      </c>
      <c r="C21" s="4">
        <f t="shared" si="2"/>
        <v>142.6</v>
      </c>
      <c r="D21" s="4">
        <f t="shared" si="2"/>
        <v>11.7</v>
      </c>
      <c r="F21" s="15" t="s">
        <v>392</v>
      </c>
    </row>
    <row r="22" ht="14.25" customHeight="1">
      <c r="A22" s="28" t="s">
        <v>393</v>
      </c>
      <c r="B22" s="78">
        <f t="shared" ref="B22:D22" si="3">+_xlfn.STDEV.S(B11:B20)</f>
        <v>29.21586327</v>
      </c>
      <c r="C22" s="78">
        <f t="shared" si="3"/>
        <v>30.76867094</v>
      </c>
      <c r="D22" s="78">
        <f t="shared" si="3"/>
        <v>16.27574883</v>
      </c>
    </row>
    <row r="23" ht="14.25" customHeight="1"/>
    <row r="24" ht="14.25" customHeight="1"/>
    <row r="25" ht="14.25" customHeight="1">
      <c r="A25" s="1" t="s">
        <v>92</v>
      </c>
      <c r="B25" s="1">
        <v>0.05</v>
      </c>
      <c r="F25" s="2">
        <f>+D21/(D22/SQRT(A20))</f>
        <v>2.273237871</v>
      </c>
    </row>
    <row r="26" ht="14.25" customHeight="1">
      <c r="A26" s="1" t="s">
        <v>394</v>
      </c>
      <c r="C26" s="36">
        <f>+_xlfn.T.INV(0.95,9)</f>
        <v>1.833112933</v>
      </c>
    </row>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c r="A43" s="1" t="s">
        <v>395</v>
      </c>
    </row>
    <row r="44" ht="14.25" customHeight="1"/>
    <row r="45" ht="14.25" customHeight="1"/>
    <row r="46" ht="14.25" customHeight="1"/>
    <row r="47" ht="14.25" customHeight="1"/>
    <row r="48" ht="14.25" customHeight="1"/>
    <row r="49" ht="14.25" customHeight="1"/>
    <row r="50" ht="14.25" customHeight="1"/>
    <row r="51" ht="14.25" customHeight="1">
      <c r="A51" s="1" t="s">
        <v>146</v>
      </c>
    </row>
    <row r="52" ht="14.25" customHeight="1">
      <c r="F52" s="2">
        <f>1-_xlfn.T.DIST(F25,9,TRUE)</f>
        <v>0.02455122094</v>
      </c>
    </row>
    <row r="53" ht="14.25" customHeight="1">
      <c r="F53" s="1" t="s">
        <v>396</v>
      </c>
    </row>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c r="B66" s="51" t="s">
        <v>397</v>
      </c>
    </row>
    <row r="67" ht="14.25" customHeight="1"/>
    <row r="68" ht="14.25" customHeight="1">
      <c r="C68" s="1" t="s">
        <v>398</v>
      </c>
    </row>
    <row r="69" ht="14.25" customHeight="1">
      <c r="H69" s="15" t="s">
        <v>399</v>
      </c>
    </row>
    <row r="70" ht="14.25" customHeight="1">
      <c r="G70" s="15" t="s">
        <v>400</v>
      </c>
    </row>
    <row r="71" ht="14.25" customHeight="1">
      <c r="A71" s="22"/>
      <c r="B71" s="15" t="s">
        <v>385</v>
      </c>
      <c r="C71" s="15" t="s">
        <v>386</v>
      </c>
      <c r="D71" s="22"/>
    </row>
    <row r="72" ht="14.25" customHeight="1">
      <c r="A72" s="28" t="s">
        <v>387</v>
      </c>
      <c r="B72" s="7"/>
      <c r="C72" s="7"/>
      <c r="D72" s="28" t="s">
        <v>388</v>
      </c>
      <c r="E72" s="37" t="s">
        <v>401</v>
      </c>
      <c r="F72" s="37" t="s">
        <v>402</v>
      </c>
      <c r="G72" s="37" t="s">
        <v>403</v>
      </c>
      <c r="H72" s="47" t="s">
        <v>404</v>
      </c>
    </row>
    <row r="73" ht="14.25" customHeight="1">
      <c r="A73" s="22">
        <v>6.0</v>
      </c>
      <c r="B73" s="22">
        <v>110.0</v>
      </c>
      <c r="C73" s="22">
        <v>110.0</v>
      </c>
      <c r="D73" s="22">
        <f t="shared" ref="D73:D82" si="4">+B73-C73</f>
        <v>0</v>
      </c>
      <c r="E73" s="22">
        <f t="shared" ref="E73:E82" si="5">+ABS(D73)</f>
        <v>0</v>
      </c>
      <c r="F73" s="22">
        <v>0.0</v>
      </c>
      <c r="G73" s="22">
        <v>0.0</v>
      </c>
      <c r="H73" s="22">
        <v>0.0</v>
      </c>
    </row>
    <row r="74" ht="14.25" customHeight="1">
      <c r="A74" s="22">
        <v>2.0</v>
      </c>
      <c r="B74" s="22">
        <v>150.0</v>
      </c>
      <c r="C74" s="22">
        <v>148.0</v>
      </c>
      <c r="D74" s="22">
        <f t="shared" si="4"/>
        <v>2</v>
      </c>
      <c r="E74" s="22">
        <f t="shared" si="5"/>
        <v>2</v>
      </c>
      <c r="F74" s="22">
        <v>1.0</v>
      </c>
      <c r="G74" s="22">
        <v>1.0</v>
      </c>
      <c r="H74" s="22">
        <v>1.0</v>
      </c>
    </row>
    <row r="75" ht="14.25" customHeight="1">
      <c r="A75" s="91">
        <v>4.0</v>
      </c>
      <c r="B75" s="91">
        <v>180.0</v>
      </c>
      <c r="C75" s="91">
        <v>185.0</v>
      </c>
      <c r="D75" s="92">
        <f t="shared" si="4"/>
        <v>-5</v>
      </c>
      <c r="E75" s="21">
        <f t="shared" si="5"/>
        <v>5</v>
      </c>
      <c r="F75" s="91">
        <v>2.0</v>
      </c>
      <c r="G75" s="22">
        <f t="shared" ref="G75:G77" si="6">+(3+4+2)/3</f>
        <v>3</v>
      </c>
      <c r="H75" s="22">
        <f t="shared" ref="H75:H76" si="7">+-(3+4+2)/3</f>
        <v>-3</v>
      </c>
    </row>
    <row r="76" ht="14.25" customHeight="1">
      <c r="A76" s="91">
        <v>7.0</v>
      </c>
      <c r="B76" s="91">
        <v>125.0</v>
      </c>
      <c r="C76" s="91">
        <v>130.0</v>
      </c>
      <c r="D76" s="92">
        <f t="shared" si="4"/>
        <v>-5</v>
      </c>
      <c r="E76" s="21">
        <f t="shared" si="5"/>
        <v>5</v>
      </c>
      <c r="F76" s="91">
        <v>3.0</v>
      </c>
      <c r="G76" s="22">
        <f t="shared" si="6"/>
        <v>3</v>
      </c>
      <c r="H76" s="22">
        <f t="shared" si="7"/>
        <v>-3</v>
      </c>
    </row>
    <row r="77" ht="14.25" customHeight="1">
      <c r="A77" s="91">
        <v>1.0</v>
      </c>
      <c r="B77" s="91">
        <v>140.0</v>
      </c>
      <c r="C77" s="91">
        <v>135.0</v>
      </c>
      <c r="D77" s="91">
        <f t="shared" si="4"/>
        <v>5</v>
      </c>
      <c r="E77" s="21">
        <f t="shared" si="5"/>
        <v>5</v>
      </c>
      <c r="F77" s="91">
        <v>4.0</v>
      </c>
      <c r="G77" s="22">
        <f t="shared" si="6"/>
        <v>3</v>
      </c>
      <c r="H77" s="22">
        <f>+(3+4+2)/3</f>
        <v>3</v>
      </c>
    </row>
    <row r="78" ht="14.25" customHeight="1">
      <c r="A78" s="22">
        <v>10.0</v>
      </c>
      <c r="B78" s="22">
        <v>170.0</v>
      </c>
      <c r="C78" s="22">
        <v>160.0</v>
      </c>
      <c r="D78" s="22">
        <f t="shared" si="4"/>
        <v>10</v>
      </c>
      <c r="E78" s="22">
        <f t="shared" si="5"/>
        <v>10</v>
      </c>
      <c r="F78" s="22">
        <v>5.0</v>
      </c>
      <c r="G78" s="22">
        <v>5.0</v>
      </c>
      <c r="H78" s="22">
        <v>5.0</v>
      </c>
    </row>
    <row r="79" ht="14.25" customHeight="1">
      <c r="A79" s="22">
        <v>9.0</v>
      </c>
      <c r="B79" s="22">
        <v>158.0</v>
      </c>
      <c r="C79" s="22">
        <v>145.0</v>
      </c>
      <c r="D79" s="22">
        <f t="shared" si="4"/>
        <v>13</v>
      </c>
      <c r="E79" s="22">
        <f t="shared" si="5"/>
        <v>13</v>
      </c>
      <c r="F79" s="22">
        <v>6.0</v>
      </c>
      <c r="G79" s="22">
        <v>6.0</v>
      </c>
      <c r="H79" s="22">
        <v>6.0</v>
      </c>
    </row>
    <row r="80" ht="14.25" customHeight="1">
      <c r="A80" s="22">
        <v>5.0</v>
      </c>
      <c r="B80" s="22">
        <v>210.0</v>
      </c>
      <c r="C80" s="22">
        <v>190.0</v>
      </c>
      <c r="D80" s="22">
        <f t="shared" si="4"/>
        <v>20</v>
      </c>
      <c r="E80" s="22">
        <f t="shared" si="5"/>
        <v>20</v>
      </c>
      <c r="F80" s="22">
        <v>7.0</v>
      </c>
      <c r="G80" s="22">
        <v>7.0</v>
      </c>
      <c r="H80" s="22">
        <v>7.0</v>
      </c>
    </row>
    <row r="81" ht="14.25" customHeight="1">
      <c r="A81" s="22">
        <v>3.0</v>
      </c>
      <c r="B81" s="22">
        <v>167.0</v>
      </c>
      <c r="C81" s="22">
        <v>133.0</v>
      </c>
      <c r="D81" s="22">
        <f t="shared" si="4"/>
        <v>34</v>
      </c>
      <c r="E81" s="22">
        <f t="shared" si="5"/>
        <v>34</v>
      </c>
      <c r="F81" s="22">
        <v>8.0</v>
      </c>
      <c r="G81" s="22">
        <v>8.0</v>
      </c>
      <c r="H81" s="22">
        <v>8.0</v>
      </c>
    </row>
    <row r="82" ht="14.25" customHeight="1">
      <c r="A82" s="28">
        <v>8.0</v>
      </c>
      <c r="B82" s="28">
        <v>133.0</v>
      </c>
      <c r="C82" s="28">
        <v>90.0</v>
      </c>
      <c r="D82" s="28">
        <f t="shared" si="4"/>
        <v>43</v>
      </c>
      <c r="E82" s="22">
        <f t="shared" si="5"/>
        <v>43</v>
      </c>
      <c r="F82" s="22">
        <v>9.0</v>
      </c>
      <c r="G82" s="22">
        <v>9.0</v>
      </c>
      <c r="H82" s="22">
        <v>9.0</v>
      </c>
    </row>
    <row r="83" ht="14.25" customHeight="1">
      <c r="A83" s="4" t="s">
        <v>334</v>
      </c>
      <c r="B83" s="4">
        <f t="shared" ref="B83:D83" si="8">+AVERAGE(B73:B82)</f>
        <v>154.3</v>
      </c>
      <c r="C83" s="4">
        <f t="shared" si="8"/>
        <v>142.6</v>
      </c>
      <c r="D83" s="4">
        <f t="shared" si="8"/>
        <v>11.7</v>
      </c>
    </row>
    <row r="84" ht="14.25" customHeight="1">
      <c r="A84" s="28" t="s">
        <v>393</v>
      </c>
      <c r="B84" s="78">
        <f t="shared" ref="B84:D84" si="9">+_xlfn.STDEV.S(B73:B82)</f>
        <v>29.21586327</v>
      </c>
      <c r="C84" s="78">
        <f t="shared" si="9"/>
        <v>30.76867094</v>
      </c>
      <c r="D84" s="78">
        <f t="shared" si="9"/>
        <v>16.27574883</v>
      </c>
    </row>
    <row r="85" ht="14.25" customHeight="1"/>
    <row r="86" ht="14.25" customHeight="1"/>
    <row r="87" ht="14.25" customHeight="1"/>
    <row r="88" ht="14.25" customHeight="1"/>
    <row r="89" ht="14.25" customHeight="1">
      <c r="A89" s="1" t="s">
        <v>405</v>
      </c>
    </row>
    <row r="90" ht="14.25" customHeight="1"/>
    <row r="91" ht="14.25" customHeight="1">
      <c r="A91" s="1" t="s">
        <v>406</v>
      </c>
      <c r="B91" s="1">
        <v>9.0</v>
      </c>
      <c r="C91" s="1" t="s">
        <v>407</v>
      </c>
    </row>
    <row r="92" ht="14.25" customHeight="1">
      <c r="A92" s="1" t="s">
        <v>408</v>
      </c>
      <c r="D92" s="1">
        <f>+H74+H77+H78+H79+H80+H81+H82</f>
        <v>39</v>
      </c>
    </row>
    <row r="93" ht="14.25" customHeight="1">
      <c r="A93" s="1" t="s">
        <v>409</v>
      </c>
      <c r="D93" s="1">
        <f>+H75+H76</f>
        <v>-6</v>
      </c>
    </row>
    <row r="94" ht="14.25" customHeight="1"/>
    <row r="95" ht="14.25" customHeight="1"/>
    <row r="96" ht="14.25" customHeight="1">
      <c r="A96" s="1" t="s">
        <v>410</v>
      </c>
      <c r="C96" s="1">
        <v>6.0</v>
      </c>
    </row>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c r="C107" s="1" t="s">
        <v>411</v>
      </c>
    </row>
    <row r="108" ht="14.25" customHeight="1">
      <c r="C108" s="1" t="s">
        <v>412</v>
      </c>
    </row>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c r="A121" s="1" t="s">
        <v>413</v>
      </c>
    </row>
    <row r="122" ht="14.25" customHeight="1">
      <c r="H122" s="15"/>
    </row>
    <row r="123" ht="14.25" customHeight="1">
      <c r="A123" s="1" t="s">
        <v>380</v>
      </c>
      <c r="B123" s="1" t="s">
        <v>381</v>
      </c>
      <c r="C123" s="1" t="s">
        <v>382</v>
      </c>
    </row>
    <row r="124" ht="14.25" customHeight="1">
      <c r="A124" s="1" t="s">
        <v>383</v>
      </c>
      <c r="B124" s="1" t="s">
        <v>384</v>
      </c>
      <c r="G124" s="15"/>
    </row>
    <row r="125" ht="14.25" customHeight="1">
      <c r="A125" s="37"/>
      <c r="B125" s="37"/>
      <c r="C125" s="37"/>
      <c r="D125" s="37"/>
      <c r="E125" s="37"/>
      <c r="F125" s="37"/>
      <c r="G125" s="7"/>
      <c r="H125" s="7"/>
    </row>
    <row r="126" ht="14.25" customHeight="1">
      <c r="A126" s="22"/>
      <c r="B126" s="15" t="s">
        <v>385</v>
      </c>
      <c r="C126" s="15" t="s">
        <v>386</v>
      </c>
      <c r="D126" s="22"/>
    </row>
    <row r="127" ht="14.25" customHeight="1">
      <c r="A127" s="28" t="s">
        <v>387</v>
      </c>
      <c r="B127" s="7"/>
      <c r="C127" s="7"/>
      <c r="D127" s="28" t="s">
        <v>388</v>
      </c>
      <c r="E127" s="37" t="s">
        <v>414</v>
      </c>
      <c r="F127" s="37"/>
      <c r="G127" s="37"/>
    </row>
    <row r="128" ht="14.25" customHeight="1">
      <c r="A128" s="22">
        <v>1.0</v>
      </c>
      <c r="B128" s="22">
        <v>140.0</v>
      </c>
      <c r="C128" s="22">
        <v>135.0</v>
      </c>
      <c r="D128" s="22">
        <f t="shared" ref="D128:D137" si="10">+B128-C128</f>
        <v>5</v>
      </c>
      <c r="E128" s="22" t="s">
        <v>98</v>
      </c>
      <c r="F128" s="22"/>
      <c r="G128" s="22"/>
    </row>
    <row r="129" ht="14.25" customHeight="1">
      <c r="A129" s="22">
        <v>2.0</v>
      </c>
      <c r="B129" s="22">
        <v>150.0</v>
      </c>
      <c r="C129" s="22">
        <v>148.0</v>
      </c>
      <c r="D129" s="22">
        <f t="shared" si="10"/>
        <v>2</v>
      </c>
      <c r="E129" s="22" t="s">
        <v>98</v>
      </c>
      <c r="F129" s="22"/>
      <c r="G129" s="22"/>
    </row>
    <row r="130" ht="14.25" customHeight="1">
      <c r="A130" s="22">
        <v>3.0</v>
      </c>
      <c r="B130" s="22">
        <v>167.0</v>
      </c>
      <c r="C130" s="22">
        <v>133.0</v>
      </c>
      <c r="D130" s="22">
        <f t="shared" si="10"/>
        <v>34</v>
      </c>
      <c r="E130" s="22" t="s">
        <v>98</v>
      </c>
      <c r="F130" s="22"/>
      <c r="G130" s="22"/>
    </row>
    <row r="131" ht="14.25" customHeight="1">
      <c r="A131" s="22">
        <v>4.0</v>
      </c>
      <c r="B131" s="22">
        <v>180.0</v>
      </c>
      <c r="C131" s="22">
        <v>185.0</v>
      </c>
      <c r="D131" s="73">
        <f t="shared" si="10"/>
        <v>-5</v>
      </c>
      <c r="E131" s="22" t="s">
        <v>415</v>
      </c>
      <c r="F131" s="22"/>
      <c r="G131" s="22"/>
    </row>
    <row r="132" ht="14.25" customHeight="1">
      <c r="A132" s="22">
        <v>5.0</v>
      </c>
      <c r="B132" s="22">
        <v>210.0</v>
      </c>
      <c r="C132" s="22">
        <v>190.0</v>
      </c>
      <c r="D132" s="22">
        <f t="shared" si="10"/>
        <v>20</v>
      </c>
      <c r="E132" s="22" t="s">
        <v>98</v>
      </c>
      <c r="F132" s="22"/>
      <c r="G132" s="22"/>
    </row>
    <row r="133" ht="14.25" customHeight="1">
      <c r="A133" s="22">
        <v>6.0</v>
      </c>
      <c r="B133" s="22">
        <v>110.0</v>
      </c>
      <c r="C133" s="22">
        <v>110.0</v>
      </c>
      <c r="D133" s="93">
        <f t="shared" si="10"/>
        <v>0</v>
      </c>
      <c r="E133" s="93">
        <v>0.0</v>
      </c>
      <c r="F133" s="22"/>
      <c r="G133" s="22"/>
    </row>
    <row r="134" ht="14.25" customHeight="1">
      <c r="A134" s="22">
        <v>7.0</v>
      </c>
      <c r="B134" s="22">
        <v>125.0</v>
      </c>
      <c r="C134" s="22">
        <v>130.0</v>
      </c>
      <c r="D134" s="73">
        <f t="shared" si="10"/>
        <v>-5</v>
      </c>
      <c r="E134" s="22" t="s">
        <v>133</v>
      </c>
      <c r="F134" s="22"/>
      <c r="G134" s="22"/>
    </row>
    <row r="135" ht="14.25" customHeight="1">
      <c r="A135" s="22">
        <v>8.0</v>
      </c>
      <c r="B135" s="22">
        <v>133.0</v>
      </c>
      <c r="C135" s="22">
        <v>90.0</v>
      </c>
      <c r="D135" s="22">
        <f t="shared" si="10"/>
        <v>43</v>
      </c>
      <c r="E135" s="22" t="s">
        <v>98</v>
      </c>
      <c r="F135" s="22"/>
      <c r="G135" s="22"/>
    </row>
    <row r="136" ht="14.25" customHeight="1">
      <c r="A136" s="22">
        <v>9.0</v>
      </c>
      <c r="B136" s="22">
        <v>158.0</v>
      </c>
      <c r="C136" s="22">
        <v>145.0</v>
      </c>
      <c r="D136" s="22">
        <f t="shared" si="10"/>
        <v>13</v>
      </c>
      <c r="E136" s="22" t="s">
        <v>98</v>
      </c>
      <c r="F136" s="22"/>
      <c r="G136" s="22"/>
    </row>
    <row r="137" ht="14.25" customHeight="1">
      <c r="A137" s="28">
        <v>10.0</v>
      </c>
      <c r="B137" s="28">
        <v>170.0</v>
      </c>
      <c r="C137" s="28">
        <v>160.0</v>
      </c>
      <c r="D137" s="28">
        <f t="shared" si="10"/>
        <v>10</v>
      </c>
      <c r="E137" s="22" t="s">
        <v>98</v>
      </c>
      <c r="F137" s="22"/>
      <c r="G137" s="22"/>
    </row>
    <row r="138" ht="14.25" customHeight="1">
      <c r="A138" s="4" t="s">
        <v>334</v>
      </c>
      <c r="B138" s="4">
        <f t="shared" ref="B138:D138" si="11">+AVERAGE(B128:B137)</f>
        <v>154.3</v>
      </c>
      <c r="C138" s="4">
        <f t="shared" si="11"/>
        <v>142.6</v>
      </c>
      <c r="D138" s="4">
        <f t="shared" si="11"/>
        <v>11.7</v>
      </c>
    </row>
    <row r="139" ht="14.25" customHeight="1">
      <c r="A139" s="28" t="s">
        <v>393</v>
      </c>
      <c r="B139" s="78">
        <f t="shared" ref="B139:D139" si="12">+_xlfn.STDEV.S(B128:B137)</f>
        <v>29.21586327</v>
      </c>
      <c r="C139" s="78">
        <f t="shared" si="12"/>
        <v>30.76867094</v>
      </c>
      <c r="D139" s="78">
        <f t="shared" si="12"/>
        <v>16.27574883</v>
      </c>
    </row>
    <row r="140" ht="14.25" customHeight="1"/>
    <row r="141" ht="14.25" customHeight="1">
      <c r="A141" s="22" t="s">
        <v>92</v>
      </c>
      <c r="B141" s="1">
        <v>0.05</v>
      </c>
    </row>
    <row r="142" ht="14.25" customHeight="1">
      <c r="A142" s="22" t="s">
        <v>406</v>
      </c>
      <c r="B142" s="1">
        <v>9.0</v>
      </c>
    </row>
    <row r="143" ht="14.25" customHeight="1"/>
    <row r="144" ht="14.25" customHeight="1">
      <c r="G144" s="1">
        <f>1-_xlfn.BINOM.DIST(6,B142,0.5,TRUE)</f>
        <v>0.08984375</v>
      </c>
    </row>
    <row r="145" ht="14.25" customHeight="1">
      <c r="A145" s="1" t="s">
        <v>416</v>
      </c>
      <c r="B145" s="1">
        <v>2.0</v>
      </c>
    </row>
    <row r="146" ht="14.25" customHeight="1">
      <c r="A146" s="22" t="s">
        <v>417</v>
      </c>
      <c r="C146" s="1">
        <v>7.0</v>
      </c>
    </row>
    <row r="147" ht="14.25" customHeight="1">
      <c r="A147" s="90" t="s">
        <v>418</v>
      </c>
    </row>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c r="A159" s="1" t="s">
        <v>419</v>
      </c>
      <c r="C159" s="1" t="s">
        <v>420</v>
      </c>
    </row>
    <row r="160" ht="14.25" customHeight="1"/>
    <row r="161" ht="14.25" customHeight="1"/>
    <row r="162" ht="14.25" customHeight="1"/>
    <row r="163" ht="14.25" customHeight="1"/>
    <row r="164" ht="14.25" customHeight="1"/>
    <row r="165" ht="14.25" customHeight="1">
      <c r="H165" s="1" t="s">
        <v>421</v>
      </c>
    </row>
    <row r="166" ht="14.25" customHeight="1">
      <c r="G166" s="1" t="s">
        <v>422</v>
      </c>
      <c r="H166" s="1">
        <f>33+4</f>
        <v>37</v>
      </c>
    </row>
    <row r="167" ht="14.25" customHeight="1"/>
    <row r="168" ht="14.25" customHeight="1"/>
    <row r="169" ht="14.25" customHeight="1"/>
    <row r="170" ht="14.25" customHeight="1">
      <c r="C170" s="1">
        <f>+_xlfn.CHISQ.INV(0.95,1)</f>
        <v>3.841458821</v>
      </c>
      <c r="G170" s="1">
        <f>+_xlfn.CHISQ.INV(0.99,1)</f>
        <v>6.634896601</v>
      </c>
    </row>
    <row r="171" ht="14.25" customHeight="1"/>
    <row r="172" ht="14.25" customHeight="1">
      <c r="A172" s="1" t="s">
        <v>423</v>
      </c>
    </row>
    <row r="173" ht="14.25" customHeight="1"/>
    <row r="174" ht="14.25" customHeight="1">
      <c r="H174" s="1">
        <v>22.73</v>
      </c>
    </row>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c r="B186" s="1" t="s">
        <v>424</v>
      </c>
    </row>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c r="E208" s="1">
        <f>+_xlfn.BINOM.DIST(4,37,0.5,TRUE)</f>
        <v>0.0000005421970855</v>
      </c>
    </row>
    <row r="209" ht="14.25" customHeight="1">
      <c r="E209" s="1">
        <f>+_xlfn.BINOM.DIST(33,37,0.5,TRUE)</f>
        <v>0.9999999383</v>
      </c>
      <c r="F209" s="1">
        <f>1-E209</f>
        <v>0.00000006165646482</v>
      </c>
    </row>
    <row r="210" ht="14.25" customHeight="1"/>
    <row r="211" ht="14.25" customHeight="1">
      <c r="E211" s="94">
        <f>+F209+E208</f>
        <v>0.0000006038535503</v>
      </c>
      <c r="F211" s="1" t="s">
        <v>425</v>
      </c>
    </row>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mergeCells count="12">
    <mergeCell ref="H69:H71"/>
    <mergeCell ref="H122:H125"/>
    <mergeCell ref="G124:G125"/>
    <mergeCell ref="B126:B127"/>
    <mergeCell ref="C126:C127"/>
    <mergeCell ref="B9:B10"/>
    <mergeCell ref="C9:C10"/>
    <mergeCell ref="F13:H15"/>
    <mergeCell ref="F21:H23"/>
    <mergeCell ref="G70:G71"/>
    <mergeCell ref="B71:B72"/>
    <mergeCell ref="C71:C72"/>
  </mergeCells>
  <printOptions/>
  <pageMargins bottom="0.75" footer="0.0" header="0.0" left="0.7" right="0.7" top="0.75"/>
  <pageSetup paperSize="9" orientation="portrait"/>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26" width="10.71"/>
  </cols>
  <sheetData>
    <row r="1" ht="14.25" customHeight="1">
      <c r="I1" s="22" t="s">
        <v>426</v>
      </c>
      <c r="J1" s="22" t="s">
        <v>427</v>
      </c>
      <c r="K1" s="22">
        <v>98.0</v>
      </c>
    </row>
    <row r="2" ht="14.25" customHeight="1">
      <c r="I2" s="1" t="s">
        <v>428</v>
      </c>
    </row>
    <row r="3" ht="14.25" customHeight="1"/>
    <row r="4" ht="14.25" customHeight="1">
      <c r="I4" s="1" t="s">
        <v>429</v>
      </c>
    </row>
    <row r="5" ht="14.25" customHeight="1">
      <c r="I5" s="1" t="s">
        <v>430</v>
      </c>
    </row>
    <row r="6" ht="14.25" customHeight="1"/>
    <row r="7" ht="14.25" customHeight="1">
      <c r="L7" s="1" t="s">
        <v>431</v>
      </c>
    </row>
    <row r="8" ht="14.25" customHeight="1">
      <c r="I8" s="1" t="s">
        <v>432</v>
      </c>
      <c r="J8" s="1">
        <v>0.7132</v>
      </c>
      <c r="L8" s="1">
        <f>+J8/SQRT((1-J8^2)/(100-2))</f>
        <v>10.07234901</v>
      </c>
    </row>
    <row r="9" ht="14.25" customHeight="1">
      <c r="I9" s="1" t="s">
        <v>433</v>
      </c>
      <c r="J9" s="1">
        <v>0.0</v>
      </c>
    </row>
    <row r="10" ht="14.25" customHeight="1"/>
    <row r="11" ht="14.25" customHeight="1"/>
    <row r="12" ht="14.25" customHeight="1"/>
    <row r="13" ht="14.25" customHeight="1"/>
    <row r="14" ht="14.25" customHeight="1"/>
    <row r="15" ht="14.25" customHeight="1"/>
    <row r="16" ht="14.25" customHeight="1"/>
    <row r="17" ht="14.25" customHeight="1"/>
    <row r="18" ht="14.25" customHeight="1">
      <c r="I18" s="1" t="s">
        <v>434</v>
      </c>
      <c r="J18" s="1">
        <v>0.5058</v>
      </c>
    </row>
    <row r="19" ht="14.25" customHeight="1">
      <c r="I19" s="1" t="s">
        <v>91</v>
      </c>
      <c r="J19" s="1">
        <v>100.0</v>
      </c>
    </row>
    <row r="20" ht="14.25" customHeight="1"/>
    <row r="21" ht="14.25" customHeight="1"/>
    <row r="22" ht="14.25" customHeight="1">
      <c r="H22" s="1" t="s">
        <v>435</v>
      </c>
      <c r="I22" s="1">
        <f>+J18/SQRT((2*(2*J19+5))/(9*J19*(J19-1)))</f>
        <v>7.456340782</v>
      </c>
    </row>
    <row r="23" ht="14.25" customHeight="1"/>
    <row r="24" ht="14.25" customHeight="1"/>
    <row r="25" ht="14.25" customHeight="1"/>
    <row r="26" ht="14.25" customHeight="1"/>
    <row r="27" ht="14.25" customHeight="1"/>
    <row r="28" ht="14.25" customHeight="1">
      <c r="G28" s="1" t="s">
        <v>436</v>
      </c>
    </row>
    <row r="29" ht="14.25" customHeight="1">
      <c r="G29" s="1" t="s">
        <v>437</v>
      </c>
      <c r="I29" s="1" t="s">
        <v>438</v>
      </c>
    </row>
    <row r="30" ht="14.25" customHeight="1">
      <c r="G30" s="1" t="s">
        <v>439</v>
      </c>
      <c r="I30" s="1" t="s">
        <v>429</v>
      </c>
    </row>
    <row r="31" ht="14.25" customHeight="1">
      <c r="G31" s="1" t="s">
        <v>440</v>
      </c>
      <c r="I31" s="1" t="s">
        <v>441</v>
      </c>
    </row>
    <row r="32" ht="14.25" customHeight="1"/>
    <row r="33" ht="14.25" customHeight="1"/>
    <row r="34" ht="14.25" customHeight="1">
      <c r="G34" s="1" t="s">
        <v>442</v>
      </c>
    </row>
    <row r="35" ht="14.25" customHeight="1"/>
    <row r="36" ht="14.25" customHeight="1"/>
    <row r="37" ht="14.25" customHeight="1"/>
    <row r="38" ht="14.25" customHeight="1">
      <c r="I38" s="1" t="s">
        <v>443</v>
      </c>
    </row>
    <row r="39" ht="14.25" customHeight="1">
      <c r="I39" s="1" t="s">
        <v>444</v>
      </c>
    </row>
    <row r="40" ht="14.25" customHeight="1">
      <c r="I40" s="1" t="s">
        <v>445</v>
      </c>
      <c r="J40" s="1">
        <v>0.6418</v>
      </c>
    </row>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c r="J76" s="1" t="s">
        <v>446</v>
      </c>
    </row>
    <row r="77" ht="14.25" customHeight="1"/>
    <row r="78" ht="14.25" customHeight="1"/>
    <row r="79" ht="14.25" customHeight="1"/>
    <row r="80" ht="14.25" customHeight="1">
      <c r="J80" s="89"/>
      <c r="K80" s="89"/>
    </row>
    <row r="81" ht="14.25" customHeight="1">
      <c r="J81" s="89" t="s">
        <v>447</v>
      </c>
      <c r="K81" s="89" t="s">
        <v>448</v>
      </c>
      <c r="L81" s="1" t="s">
        <v>449</v>
      </c>
      <c r="M81" s="1" t="s">
        <v>450</v>
      </c>
      <c r="N81" s="1" t="s">
        <v>451</v>
      </c>
      <c r="O81" s="1" t="s">
        <v>452</v>
      </c>
      <c r="P81" s="1" t="s">
        <v>349</v>
      </c>
      <c r="Q81" s="1" t="s">
        <v>453</v>
      </c>
    </row>
    <row r="82" ht="14.25" customHeight="1">
      <c r="J82" s="22">
        <v>1.0</v>
      </c>
      <c r="K82" s="22">
        <v>1.0</v>
      </c>
      <c r="L82" s="1">
        <v>1.0</v>
      </c>
      <c r="M82" s="1">
        <v>1.5</v>
      </c>
      <c r="N82" s="1">
        <v>1.0</v>
      </c>
      <c r="O82" s="1">
        <v>1.5</v>
      </c>
      <c r="P82" s="1">
        <f t="shared" ref="P82:P92" si="1">+M82-O82</f>
        <v>0</v>
      </c>
      <c r="Q82" s="1">
        <f t="shared" ref="Q82:Q92" si="2">+P82^2</f>
        <v>0</v>
      </c>
    </row>
    <row r="83" ht="14.25" customHeight="1">
      <c r="J83" s="22">
        <v>1.0</v>
      </c>
      <c r="K83" s="22">
        <v>1.0</v>
      </c>
      <c r="L83" s="1">
        <v>2.0</v>
      </c>
      <c r="M83" s="1">
        <v>1.5</v>
      </c>
      <c r="N83" s="1">
        <v>2.0</v>
      </c>
      <c r="O83" s="1">
        <v>1.5</v>
      </c>
      <c r="P83" s="1">
        <f t="shared" si="1"/>
        <v>0</v>
      </c>
      <c r="Q83" s="1">
        <f t="shared" si="2"/>
        <v>0</v>
      </c>
    </row>
    <row r="84" ht="14.25" customHeight="1">
      <c r="J84" s="22">
        <v>2.0</v>
      </c>
      <c r="K84" s="22">
        <v>2.0</v>
      </c>
      <c r="L84" s="1">
        <v>3.0</v>
      </c>
      <c r="M84" s="1">
        <v>4.5</v>
      </c>
      <c r="N84" s="1">
        <v>3.0</v>
      </c>
      <c r="O84" s="1">
        <v>4.0</v>
      </c>
      <c r="P84" s="1">
        <f t="shared" si="1"/>
        <v>0.5</v>
      </c>
      <c r="Q84" s="1">
        <f t="shared" si="2"/>
        <v>0.25</v>
      </c>
    </row>
    <row r="85" ht="14.25" customHeight="1">
      <c r="J85" s="22">
        <v>2.0</v>
      </c>
      <c r="K85" s="22">
        <v>2.0</v>
      </c>
      <c r="L85" s="1">
        <v>4.0</v>
      </c>
      <c r="M85" s="1">
        <v>4.5</v>
      </c>
      <c r="N85" s="1">
        <v>4.0</v>
      </c>
      <c r="O85" s="1">
        <v>4.0</v>
      </c>
      <c r="P85" s="1">
        <f t="shared" si="1"/>
        <v>0.5</v>
      </c>
      <c r="Q85" s="1">
        <f t="shared" si="2"/>
        <v>0.25</v>
      </c>
    </row>
    <row r="86" ht="14.25" customHeight="1">
      <c r="J86" s="22">
        <v>2.0</v>
      </c>
      <c r="K86" s="22">
        <v>2.0</v>
      </c>
      <c r="L86" s="1">
        <v>5.0</v>
      </c>
      <c r="M86" s="1">
        <v>4.5</v>
      </c>
      <c r="N86" s="1">
        <v>5.0</v>
      </c>
      <c r="O86" s="1">
        <v>4.0</v>
      </c>
      <c r="P86" s="1">
        <f t="shared" si="1"/>
        <v>0.5</v>
      </c>
      <c r="Q86" s="1">
        <f t="shared" si="2"/>
        <v>0.25</v>
      </c>
    </row>
    <row r="87" ht="14.25" customHeight="1">
      <c r="J87" s="22">
        <v>2.0</v>
      </c>
      <c r="K87" s="22">
        <v>3.0</v>
      </c>
      <c r="L87" s="1">
        <v>6.0</v>
      </c>
      <c r="M87" s="1">
        <v>4.5</v>
      </c>
      <c r="N87" s="1">
        <v>6.0</v>
      </c>
      <c r="O87" s="1">
        <v>6.5</v>
      </c>
      <c r="P87" s="1">
        <f t="shared" si="1"/>
        <v>-2</v>
      </c>
      <c r="Q87" s="1">
        <f t="shared" si="2"/>
        <v>4</v>
      </c>
    </row>
    <row r="88" ht="14.25" customHeight="1">
      <c r="J88" s="22">
        <v>3.0</v>
      </c>
      <c r="K88" s="22">
        <v>3.0</v>
      </c>
      <c r="L88" s="1">
        <v>7.0</v>
      </c>
      <c r="M88" s="1">
        <v>8.0</v>
      </c>
      <c r="N88" s="1">
        <v>7.0</v>
      </c>
      <c r="O88" s="1">
        <v>6.5</v>
      </c>
      <c r="P88" s="1">
        <f t="shared" si="1"/>
        <v>1.5</v>
      </c>
      <c r="Q88" s="1">
        <f t="shared" si="2"/>
        <v>2.25</v>
      </c>
    </row>
    <row r="89" ht="14.25" customHeight="1">
      <c r="J89" s="22">
        <v>3.0</v>
      </c>
      <c r="K89" s="22">
        <v>4.0</v>
      </c>
      <c r="L89" s="1">
        <v>8.0</v>
      </c>
      <c r="M89" s="1">
        <v>8.0</v>
      </c>
      <c r="N89" s="1">
        <v>8.0</v>
      </c>
      <c r="O89" s="1">
        <v>8.5</v>
      </c>
      <c r="P89" s="1">
        <f t="shared" si="1"/>
        <v>-0.5</v>
      </c>
      <c r="Q89" s="1">
        <f t="shared" si="2"/>
        <v>0.25</v>
      </c>
    </row>
    <row r="90" ht="14.25" customHeight="1">
      <c r="J90" s="22">
        <v>3.0</v>
      </c>
      <c r="K90" s="22">
        <v>4.0</v>
      </c>
      <c r="L90" s="1">
        <v>9.0</v>
      </c>
      <c r="M90" s="1">
        <v>8.0</v>
      </c>
      <c r="N90" s="1">
        <v>9.0</v>
      </c>
      <c r="O90" s="1">
        <v>8.5</v>
      </c>
      <c r="P90" s="1">
        <f t="shared" si="1"/>
        <v>-0.5</v>
      </c>
      <c r="Q90" s="1">
        <f t="shared" si="2"/>
        <v>0.25</v>
      </c>
    </row>
    <row r="91" ht="14.25" customHeight="1">
      <c r="J91" s="22">
        <v>4.0</v>
      </c>
      <c r="K91" s="22">
        <v>5.0</v>
      </c>
      <c r="L91" s="1">
        <v>10.0</v>
      </c>
      <c r="M91" s="1">
        <v>10.5</v>
      </c>
      <c r="N91" s="1">
        <v>10.0</v>
      </c>
      <c r="O91" s="1">
        <v>10.5</v>
      </c>
      <c r="P91" s="1">
        <f t="shared" si="1"/>
        <v>0</v>
      </c>
      <c r="Q91" s="1">
        <f t="shared" si="2"/>
        <v>0</v>
      </c>
    </row>
    <row r="92" ht="14.25" customHeight="1">
      <c r="J92" s="22">
        <v>4.0</v>
      </c>
      <c r="K92" s="22">
        <v>5.0</v>
      </c>
      <c r="L92" s="1">
        <v>11.0</v>
      </c>
      <c r="M92" s="1">
        <v>10.5</v>
      </c>
      <c r="N92" s="1">
        <v>11.0</v>
      </c>
      <c r="O92" s="1">
        <v>10.5</v>
      </c>
      <c r="P92" s="1">
        <f t="shared" si="1"/>
        <v>0</v>
      </c>
      <c r="Q92" s="1">
        <f t="shared" si="2"/>
        <v>0</v>
      </c>
    </row>
    <row r="93" ht="14.25" customHeight="1">
      <c r="J93" s="22"/>
      <c r="K93" s="22"/>
      <c r="Q93" s="1">
        <f>+SUM(Q82:Q92)</f>
        <v>7.5</v>
      </c>
    </row>
    <row r="94" ht="14.25" customHeight="1"/>
    <row r="95" ht="14.25" customHeight="1"/>
    <row r="96" ht="14.25" customHeight="1"/>
    <row r="97" ht="14.25" customHeight="1">
      <c r="J97" s="1" t="s">
        <v>454</v>
      </c>
    </row>
    <row r="98" ht="14.25" customHeight="1">
      <c r="J98" s="1" t="s">
        <v>455</v>
      </c>
    </row>
    <row r="99" ht="14.25" customHeight="1">
      <c r="J99" s="1" t="s">
        <v>456</v>
      </c>
    </row>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rintOptions/>
  <pageMargins bottom="0.75" footer="0.0" header="0.0" left="0.7" right="0.7" top="0.75"/>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2022-03-31T14:55:44Z</dcterms:created>
  <dc:creator>User</dc:creator>
</cp:coreProperties>
</file>